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LOMUd8+5ximKvJXF2RRHOzAHvY1EL6B/34/lOcfnLNRY4uUC8WYIVGGhqSNuQYOkr/OAHxl8H6PS2r7Zri2h+g==" workbookSaltValue="52qWdWKqvSQBrZ07Ihnd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B12" i="6"/>
  <c r="AC10" i="11"/>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D12" i="8"/>
  <c r="H12" i="7" s="1"/>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U12" i="11"/>
  <c r="R20" i="20"/>
  <c r="AV20" i="20"/>
  <c r="AX20" i="20"/>
  <c r="X20" i="20"/>
  <c r="Z20" i="20"/>
  <c r="O16" i="11"/>
  <c r="T20" i="20"/>
  <c r="I20" i="20"/>
  <c r="AD20" i="20"/>
  <c r="M20" i="20"/>
  <c r="W20" i="21"/>
  <c r="W20" i="20"/>
  <c r="AI20" i="20"/>
  <c r="AG20" i="20"/>
  <c r="AU20" i="20"/>
  <c r="Y20" i="20"/>
  <c r="O20" i="20"/>
  <c r="Q20" i="20"/>
  <c r="N20" i="20"/>
  <c r="T20" i="21"/>
  <c r="AO20" i="20"/>
  <c r="B17" i="6" l="1"/>
  <c r="C17" i="6"/>
  <c r="AJ19" i="8"/>
  <c r="B16" i="6"/>
  <c r="T19" i="8"/>
  <c r="B18" i="2"/>
  <c r="H13" i="12"/>
  <c r="L12" i="14"/>
  <c r="AO12" i="11"/>
  <c r="C19" i="3"/>
  <c r="AB19" i="8"/>
  <c r="Z19" i="8"/>
  <c r="AY13" i="8"/>
  <c r="BG10" i="8"/>
  <c r="AO12" i="17"/>
  <c r="F9" i="2"/>
  <c r="AL11" i="11"/>
  <c r="H12" i="2"/>
  <c r="M18" i="2"/>
  <c r="M19" i="2" s="1"/>
  <c r="N18" i="2"/>
  <c r="B9" i="6"/>
  <c r="E11" i="6"/>
  <c r="C10" i="6"/>
  <c r="BF16" i="13"/>
  <c r="BE16" i="13"/>
  <c r="AO17" i="11"/>
  <c r="E15" i="6"/>
  <c r="K15" i="12" s="1"/>
  <c r="BD15" i="8"/>
  <c r="H15" i="7" s="1"/>
  <c r="BE15" i="8"/>
  <c r="I15" i="7" s="1"/>
  <c r="BG16" i="8"/>
  <c r="E18" i="2"/>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AI19" i="11"/>
  <c r="K16" i="12"/>
  <c r="F18" i="17"/>
  <c r="F18" i="2"/>
  <c r="Y13" i="11"/>
  <c r="I10" i="12"/>
  <c r="B19" i="7"/>
  <c r="K10" i="12"/>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K20" i="21"/>
  <c r="N20" i="11"/>
  <c r="AD20" i="11"/>
  <c r="V20" i="21"/>
  <c r="AX20" i="16"/>
  <c r="AB20" i="21"/>
  <c r="AA20" i="16"/>
  <c r="AL20" i="16"/>
  <c r="AN20" i="11"/>
  <c r="S20" i="21"/>
  <c r="AM20" i="16"/>
  <c r="AR20" i="11"/>
  <c r="BC20" i="21"/>
  <c r="V20" i="16"/>
  <c r="K20" i="12"/>
  <c r="U20" i="16"/>
  <c r="M20" i="11"/>
  <c r="AI20" i="11"/>
  <c r="AD20" i="16"/>
  <c r="AG20" i="21"/>
  <c r="F20" i="12"/>
  <c r="R20" i="11"/>
  <c r="H20" i="21"/>
  <c r="Y20" i="11"/>
  <c r="K20" i="16"/>
  <c r="AG20" i="17"/>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BE20" i="16"/>
  <c r="O20" i="21"/>
  <c r="M20" i="17"/>
  <c r="J20" i="11"/>
  <c r="P20" i="11"/>
  <c r="AI20" i="21"/>
  <c r="E20" i="11"/>
  <c r="Y20" i="16"/>
  <c r="AG20" i="16"/>
  <c r="E20" i="17"/>
  <c r="Z20" i="17"/>
  <c r="AE20" i="17"/>
  <c r="AR20" i="20"/>
  <c r="Q20" i="16"/>
  <c r="Q20" i="11"/>
  <c r="V20" i="17"/>
  <c r="U20" i="11"/>
  <c r="X20" i="21"/>
  <c r="AH20" i="21"/>
  <c r="AB20" i="11"/>
  <c r="BC20" i="16"/>
  <c r="AE20" i="1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<sst xmlns="http://schemas.openxmlformats.org/spreadsheetml/2006/main" count="2102" uniqueCount="918">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</sst>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JmuzZCspCjRidUuVK2xhegptQi6ZDTDdPGm/LCfwgMWoY6xWNm9xBrvvLigFWO3ns+2T6uiCbTGShQG4t8J4A==" saltValue="egAd6HDD6ElTnA4etCCP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2.9773499433748585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111</v>
      </c>
      <c r="D16" s="224">
        <f>IF(ISNUMBER(IF(D_I="SI",Datos!I16,Datos!I16+Datos!AC16)),IF(D_I="SI",Datos!I16,Datos!I16+Datos!AC16)," - ")</f>
        <v>111</v>
      </c>
      <c r="E16" s="225">
        <f>IF(ISNUMBER(IF(D_I="SI",Datos!J16,Datos!J16+Datos!AD16)),IF(D_I="SI",Datos!J16,Datos!J16+Datos!AD16)," - ")</f>
        <v>545</v>
      </c>
      <c r="F16" s="225">
        <f>IF(ISNUMBER(IF(D_I="SI",Datos!K16,Datos!K16+Datos!AE16)),IF(D_I="SI",Datos!K16,Datos!K16+Datos!AE16)," - ")</f>
        <v>568</v>
      </c>
      <c r="G16" s="1033" t="str">
        <f>IF(Datos!E16&lt;&gt;"",Datos!E16,Datos!D16)</f>
        <v>04</v>
      </c>
      <c r="H16" s="226">
        <f>IF(ISNUMBER(IF(D_I="SI",Datos!L16,Datos!L16+Datos!AF16)),IF(D_I="SI",Datos!L16,Datos!L16+Datos!AF16)," - ")</f>
        <v>88</v>
      </c>
      <c r="I16" s="1043" t="str">
        <f>IF(ISNUMBER(Datos!AS16/Datos!BM16),Datos!AS16/Datos!BM16," - ")</f>
        <v xml:space="preserve"> - </v>
      </c>
      <c r="J16" s="1044">
        <f>IF(ISNUMBER(Datos!BY16/Datos!CN16),Datos!BY16/Datos!CN16," - ")</f>
        <v>0</v>
      </c>
      <c r="K16" s="229">
        <f t="shared" si="3"/>
        <v>-0.2072072072072072</v>
      </c>
      <c r="L16" s="1024">
        <f>IF(ISNUMBER(NºAsuntos!I16/NºAsuntos!G16),(NºAsuntos!I16/NºAsuntos!G16)*11," - ")</f>
        <v>1.704225352112676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7</v>
      </c>
      <c r="E17" s="225">
        <f>IF(ISNUMBER(IF(D_I="SI",Datos!J17,Datos!J17+Datos!AD17)),IF(D_I="SI",Datos!J17,Datos!J17+Datos!AD17)," - ")</f>
        <v>55</v>
      </c>
      <c r="F17" s="225">
        <f>IF(ISNUMBER(IF(D_I="SI",Datos!K17,Datos!K17+Datos!AE17)),IF(D_I="SI",Datos!K17,Datos!K17+Datos!AE17)," - ")</f>
        <v>56</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1.767857142857143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v>
      </c>
      <c r="D18" s="1048">
        <f>SUBTOTAL(9,D15:D17)</f>
        <v>118</v>
      </c>
      <c r="E18" s="1049">
        <f>SUBTOTAL(9,E15:E17)</f>
        <v>600</v>
      </c>
      <c r="F18" s="1049">
        <f>SUBTOTAL(9,F15:F17)</f>
        <v>624</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121</v>
      </c>
      <c r="D19" s="1070">
        <f>SUBTOTAL(9,D9:D18)</f>
        <v>118</v>
      </c>
      <c r="E19" s="1071">
        <f>SUBTOTAL(9,E9:E18)</f>
        <v>601</v>
      </c>
      <c r="F19" s="1071">
        <f>SUBTOTAL(9,F9:F18)</f>
        <v>624</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cpRPTM5jyV7qizpSXRckYE2LLlp381WYL6WkaeGpQpOMToKsLaQqBOdsCfvP4tOnCUFk8Tadcb4a+wtnk57Tg==" saltValue="J3Qo55wfFTLFxiQQ25rM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LUqyhDl9W6cL3lP7txZgtsEtbcOfgyJWTwOeOAM0Nb2FArt+J6syGqYqPhzHr5Slb9xGX7VKMyxJIbzJnrlFw==" saltValue="ZQX0eZgyyXkdW2Hd1KnS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1</v>
      </c>
      <c r="R10" s="180">
        <v>0</v>
      </c>
      <c r="S10" s="180">
        <v>2</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492</v>
      </c>
      <c r="J12" s="182">
        <v>712</v>
      </c>
      <c r="K12" s="182">
        <v>871</v>
      </c>
      <c r="L12" s="182">
        <v>238</v>
      </c>
      <c r="M12" s="182">
        <v>269</v>
      </c>
      <c r="N12" s="182">
        <v>364</v>
      </c>
      <c r="O12" s="180">
        <v>270</v>
      </c>
      <c r="P12" s="182">
        <v>23</v>
      </c>
      <c r="Q12" s="182">
        <v>44</v>
      </c>
      <c r="R12" s="182">
        <v>270</v>
      </c>
      <c r="S12" s="182">
        <v>414</v>
      </c>
      <c r="T12" s="182">
        <v>694</v>
      </c>
      <c r="U12" s="182">
        <v>565</v>
      </c>
      <c r="V12" s="182">
        <v>492</v>
      </c>
      <c r="W12" s="182">
        <v>158</v>
      </c>
      <c r="X12" s="188">
        <v>271</v>
      </c>
      <c r="Y12" s="190">
        <v>14</v>
      </c>
      <c r="Z12" s="180">
        <v>7</v>
      </c>
      <c r="AA12" s="180">
        <v>12</v>
      </c>
      <c r="AB12" s="180">
        <v>1</v>
      </c>
      <c r="AC12" s="182">
        <v>0</v>
      </c>
      <c r="AD12" s="182">
        <v>0</v>
      </c>
      <c r="AE12" s="182">
        <v>0</v>
      </c>
      <c r="AF12" s="188">
        <v>0</v>
      </c>
      <c r="AG12" s="201">
        <v>9</v>
      </c>
      <c r="AH12" s="182">
        <v>32</v>
      </c>
      <c r="AI12" s="182">
        <v>27</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423</v>
      </c>
      <c r="AZ12" s="127">
        <f t="shared" si="1"/>
        <v>726</v>
      </c>
      <c r="BA12" s="127">
        <f t="shared" si="1"/>
        <v>592</v>
      </c>
      <c r="BB12" s="127">
        <f t="shared" si="1"/>
        <v>506</v>
      </c>
      <c r="BC12" s="125">
        <f>IF(ISNUMBER(X12),X12," - ")</f>
        <v>271</v>
      </c>
      <c r="BD12" s="126">
        <f t="shared" si="2"/>
        <v>0.81542699724517909</v>
      </c>
      <c r="BE12" s="127">
        <f t="shared" si="3"/>
        <v>0.85472972972972971</v>
      </c>
      <c r="BF12" s="127">
        <f t="shared" si="4"/>
        <v>0.45777027027027029</v>
      </c>
      <c r="BG12" s="195">
        <f t="shared" si="5"/>
        <v>1.9408783783783783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492</v>
      </c>
      <c r="J13" s="183">
        <f t="shared" si="6"/>
        <v>713</v>
      </c>
      <c r="K13" s="183">
        <f t="shared" si="6"/>
        <v>871</v>
      </c>
      <c r="L13" s="183">
        <f t="shared" si="6"/>
        <v>239</v>
      </c>
      <c r="M13" s="183">
        <f t="shared" si="6"/>
        <v>269</v>
      </c>
      <c r="N13" s="183">
        <f t="shared" si="6"/>
        <v>364</v>
      </c>
      <c r="O13" s="183">
        <f t="shared" si="6"/>
        <v>270</v>
      </c>
      <c r="P13" s="183">
        <f t="shared" si="6"/>
        <v>23</v>
      </c>
      <c r="Q13" s="183">
        <f t="shared" si="6"/>
        <v>45</v>
      </c>
      <c r="R13" s="183">
        <f t="shared" si="6"/>
        <v>270</v>
      </c>
      <c r="S13" s="183">
        <f t="shared" si="6"/>
        <v>416</v>
      </c>
      <c r="T13" s="183">
        <f t="shared" si="6"/>
        <v>694</v>
      </c>
      <c r="U13" s="183">
        <f t="shared" si="6"/>
        <v>565</v>
      </c>
      <c r="V13" s="183">
        <f t="shared" si="6"/>
        <v>492</v>
      </c>
      <c r="W13" s="183">
        <f t="shared" si="6"/>
        <v>158</v>
      </c>
      <c r="X13" s="183">
        <f t="shared" si="6"/>
        <v>271</v>
      </c>
      <c r="Y13" s="183">
        <f t="shared" si="6"/>
        <v>14</v>
      </c>
      <c r="Z13" s="183">
        <f t="shared" si="6"/>
        <v>7</v>
      </c>
      <c r="AA13" s="183">
        <f t="shared" si="6"/>
        <v>12</v>
      </c>
      <c r="AB13" s="183">
        <f t="shared" si="6"/>
        <v>1</v>
      </c>
      <c r="AC13" s="183">
        <f t="shared" si="6"/>
        <v>0</v>
      </c>
      <c r="AD13" s="183">
        <f t="shared" si="6"/>
        <v>0</v>
      </c>
      <c r="AE13" s="183">
        <f t="shared" si="6"/>
        <v>0</v>
      </c>
      <c r="AF13" s="183">
        <f>SUBTOTAL(9,AF9:AF12)</f>
        <v>0</v>
      </c>
      <c r="AG13" s="183">
        <f t="shared" ref="AG13:AT13" si="7">SUBTOTAL(9,AG8:AG12)</f>
        <v>9</v>
      </c>
      <c r="AH13" s="183">
        <f t="shared" si="7"/>
        <v>32</v>
      </c>
      <c r="AI13" s="183">
        <f t="shared" si="7"/>
        <v>27</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425</v>
      </c>
      <c r="AZ13" s="183">
        <f>SUBTOTAL(9,AZ8:AZ12)</f>
        <v>726</v>
      </c>
      <c r="BA13" s="183">
        <f>SUBTOTAL(9,BA8:BA12)</f>
        <v>592</v>
      </c>
      <c r="BB13" s="183">
        <f>SUBTOTAL(9,BB8:BB12)</f>
        <v>506</v>
      </c>
      <c r="BC13" s="183">
        <f>SUBTOTAL(9,BC8:BC12)</f>
        <v>271</v>
      </c>
      <c r="BD13" s="204">
        <f>IF(ISNUMBER(BA13/AZ13),BA13/AZ13," - ")</f>
        <v>0.81542699724517909</v>
      </c>
      <c r="BE13" s="205">
        <f>IF(ISNUMBER(BB13/BA13),BB13/BA13, " - ")</f>
        <v>0.85472972972972971</v>
      </c>
      <c r="BF13" s="205">
        <f>IF(ISNUMBER(BC13/BA13),BC13/BA13, " - ")</f>
        <v>0.45777027027027029</v>
      </c>
      <c r="BG13" s="206">
        <f>IF(ISNUMBER((AY13+AZ13)/BA13),(AY13+AZ13)/BA13," - ")</f>
        <v>1.9442567567567568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v>
      </c>
      <c r="J16" s="182">
        <v>545</v>
      </c>
      <c r="K16" s="182">
        <v>568</v>
      </c>
      <c r="L16" s="182">
        <v>88</v>
      </c>
      <c r="M16" s="182">
        <v>63</v>
      </c>
      <c r="N16" s="182">
        <v>398</v>
      </c>
      <c r="O16" s="180">
        <v>2</v>
      </c>
      <c r="P16" s="182">
        <v>14</v>
      </c>
      <c r="Q16" s="182">
        <v>15</v>
      </c>
      <c r="R16" s="182">
        <v>19</v>
      </c>
      <c r="S16" s="182">
        <v>109</v>
      </c>
      <c r="T16" s="182">
        <v>598</v>
      </c>
      <c r="U16" s="182">
        <v>596</v>
      </c>
      <c r="V16" s="182">
        <v>111</v>
      </c>
      <c r="W16" s="182">
        <v>69</v>
      </c>
      <c r="X16" s="188">
        <v>418</v>
      </c>
      <c r="Y16" s="201">
        <v>0</v>
      </c>
      <c r="Z16" s="182">
        <v>0</v>
      </c>
      <c r="AA16" s="182">
        <v>0</v>
      </c>
      <c r="AB16" s="182">
        <v>0</v>
      </c>
      <c r="AC16" s="182">
        <v>0</v>
      </c>
      <c r="AD16" s="182">
        <v>19</v>
      </c>
      <c r="AE16" s="182">
        <v>18</v>
      </c>
      <c r="AF16" s="188">
        <v>1</v>
      </c>
      <c r="AG16" s="201">
        <v>0</v>
      </c>
      <c r="AH16" s="182">
        <v>0</v>
      </c>
      <c r="AI16" s="182">
        <v>0</v>
      </c>
      <c r="AJ16" s="202">
        <v>0</v>
      </c>
      <c r="AK16" s="181">
        <v>4</v>
      </c>
      <c r="AL16" s="182">
        <v>0</v>
      </c>
      <c r="AM16" s="182">
        <v>4</v>
      </c>
      <c r="AN16" s="188">
        <v>0</v>
      </c>
      <c r="AO16" s="258">
        <v>1</v>
      </c>
      <c r="AP16" s="154">
        <v>1</v>
      </c>
      <c r="AQ16" s="154">
        <v>1</v>
      </c>
      <c r="AR16" s="154">
        <v>1</v>
      </c>
      <c r="AS16" s="339" t="s">
        <v>487</v>
      </c>
      <c r="AT16" s="202"/>
      <c r="AU16" s="201"/>
      <c r="AV16" s="202"/>
      <c r="AW16" s="201"/>
      <c r="AX16" s="202"/>
      <c r="AY16" s="126">
        <f t="shared" si="9"/>
        <v>109</v>
      </c>
      <c r="AZ16" s="127">
        <f t="shared" si="9"/>
        <v>598</v>
      </c>
      <c r="BA16" s="127">
        <f t="shared" si="9"/>
        <v>596</v>
      </c>
      <c r="BB16" s="127">
        <f t="shared" si="9"/>
        <v>111</v>
      </c>
      <c r="BC16" s="125">
        <f>IF(ISNUMBER(W16),W16," - ")</f>
        <v>69</v>
      </c>
      <c r="BD16" s="126">
        <f t="shared" ref="BD16" si="11">IF(ISNUMBER(BA16/AZ16),BA16/AZ16," - ")</f>
        <v>0.99665551839464883</v>
      </c>
      <c r="BE16" s="127">
        <f t="shared" ref="BE16" si="12">IF(ISNUMBER(BB16/BA16),BB16/BA16, " - ")</f>
        <v>0.18624161073825504</v>
      </c>
      <c r="BF16" s="127">
        <f t="shared" ref="BF16" si="13">IF(ISNUMBER(BC16/BA16),BC16/BA16, " - ")</f>
        <v>0.11577181208053691</v>
      </c>
      <c r="BG16" s="195">
        <f t="shared" si="10"/>
        <v>1.186241610738255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55</v>
      </c>
      <c r="K17" s="182">
        <v>56</v>
      </c>
      <c r="L17" s="182">
        <v>9</v>
      </c>
      <c r="M17" s="182">
        <v>8</v>
      </c>
      <c r="N17" s="182">
        <v>39</v>
      </c>
      <c r="O17" s="182">
        <v>0</v>
      </c>
      <c r="P17" s="182">
        <v>1</v>
      </c>
      <c r="Q17" s="182">
        <v>1</v>
      </c>
      <c r="R17" s="182">
        <v>0</v>
      </c>
      <c r="S17" s="182">
        <v>9</v>
      </c>
      <c r="T17" s="182">
        <v>34</v>
      </c>
      <c r="U17" s="182">
        <v>36</v>
      </c>
      <c r="V17" s="182">
        <v>7</v>
      </c>
      <c r="W17" s="182">
        <v>4</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34</v>
      </c>
      <c r="BA17" s="129">
        <f t="shared" si="14"/>
        <v>36</v>
      </c>
      <c r="BB17" s="129">
        <f t="shared" si="14"/>
        <v>7</v>
      </c>
      <c r="BC17" s="125">
        <f>IF(ISNUMBER(W17),W17," - ")</f>
        <v>4</v>
      </c>
      <c r="BD17" s="126">
        <f>IF(ISNUMBER(BA17/AZ17),BA17/AZ17," - ")</f>
        <v>1.0588235294117647</v>
      </c>
      <c r="BE17" s="127">
        <f>IF(ISNUMBER(BB17/BA17),BB17/BA17, " - ")</f>
        <v>0.19444444444444445</v>
      </c>
      <c r="BF17" s="127">
        <f>IF(ISNUMBER(BC17/BA17),BC17/BA17, " - ")</f>
        <v>0.1111111111111111</v>
      </c>
      <c r="BG17" s="195">
        <f>IF(ISNUMBER((AY17+AZ17)/BA17),(AY17+AZ17)/BA17," - ")</f>
        <v>1.1944444444444444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118</v>
      </c>
      <c r="J18" s="183">
        <f t="shared" si="15"/>
        <v>600</v>
      </c>
      <c r="K18" s="183">
        <f t="shared" si="15"/>
        <v>624</v>
      </c>
      <c r="L18" s="183">
        <f t="shared" si="15"/>
        <v>97</v>
      </c>
      <c r="M18" s="183">
        <f t="shared" si="15"/>
        <v>71</v>
      </c>
      <c r="N18" s="183">
        <f t="shared" si="15"/>
        <v>437</v>
      </c>
      <c r="O18" s="183">
        <f t="shared" si="15"/>
        <v>2</v>
      </c>
      <c r="P18" s="183">
        <f t="shared" si="15"/>
        <v>15</v>
      </c>
      <c r="Q18" s="183">
        <f t="shared" si="15"/>
        <v>16</v>
      </c>
      <c r="R18" s="183">
        <f t="shared" si="15"/>
        <v>19</v>
      </c>
      <c r="S18" s="183">
        <f t="shared" si="15"/>
        <v>118</v>
      </c>
      <c r="T18" s="183">
        <f t="shared" si="15"/>
        <v>632</v>
      </c>
      <c r="U18" s="183">
        <f t="shared" si="15"/>
        <v>632</v>
      </c>
      <c r="V18" s="183">
        <f t="shared" si="15"/>
        <v>118</v>
      </c>
      <c r="W18" s="183">
        <f t="shared" si="15"/>
        <v>73</v>
      </c>
      <c r="X18" s="183">
        <f t="shared" si="15"/>
        <v>450</v>
      </c>
      <c r="Y18" s="183">
        <f t="shared" si="15"/>
        <v>0</v>
      </c>
      <c r="Z18" s="183">
        <f t="shared" si="15"/>
        <v>0</v>
      </c>
      <c r="AA18" s="183">
        <f t="shared" si="15"/>
        <v>0</v>
      </c>
      <c r="AB18" s="183">
        <f t="shared" si="15"/>
        <v>0</v>
      </c>
      <c r="AC18" s="183">
        <f t="shared" si="15"/>
        <v>0</v>
      </c>
      <c r="AD18" s="183">
        <f t="shared" si="15"/>
        <v>19</v>
      </c>
      <c r="AE18" s="183">
        <f t="shared" si="15"/>
        <v>18</v>
      </c>
      <c r="AF18" s="183">
        <f t="shared" si="15"/>
        <v>1</v>
      </c>
      <c r="AG18" s="183">
        <f t="shared" si="15"/>
        <v>0</v>
      </c>
      <c r="AH18" s="183">
        <f t="shared" si="15"/>
        <v>0</v>
      </c>
      <c r="AI18" s="183">
        <f t="shared" si="15"/>
        <v>0</v>
      </c>
      <c r="AJ18" s="183">
        <f t="shared" si="15"/>
        <v>0</v>
      </c>
      <c r="AK18" s="183">
        <f t="shared" si="15"/>
        <v>4</v>
      </c>
      <c r="AL18" s="183">
        <f t="shared" si="15"/>
        <v>0</v>
      </c>
      <c r="AM18" s="183">
        <f t="shared" si="15"/>
        <v>4</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118</v>
      </c>
      <c r="AZ18" s="183">
        <f>SUBTOTAL(9,AZ14:AZ17)</f>
        <v>632</v>
      </c>
      <c r="BA18" s="183">
        <f>SUBTOTAL(9,BA14:BA17)</f>
        <v>632</v>
      </c>
      <c r="BB18" s="183">
        <f>SUBTOTAL(9,BB14:BB17)</f>
        <v>118</v>
      </c>
      <c r="BC18" s="183">
        <f>SUBTOTAL(9,BC14:BC17)</f>
        <v>73</v>
      </c>
      <c r="BD18" s="204">
        <f>IF(ISNUMBER(BA18/AZ18),BA18/AZ18," - ")</f>
        <v>1</v>
      </c>
      <c r="BE18" s="205">
        <f>IF(ISNUMBER(BB18/BA18),BB18/BA18, " - ")</f>
        <v>0.18670886075949367</v>
      </c>
      <c r="BF18" s="205">
        <f>IF(ISNUMBER(BC18/BA18),BC18/BA18, " - ")</f>
        <v>0.11550632911392406</v>
      </c>
      <c r="BG18" s="206">
        <f>IF(ISNUMBER((AY18+AZ18)/BA18),(AY18+AZ18)/BA18," - ")</f>
        <v>1.1867088607594938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610</v>
      </c>
      <c r="J19" s="134">
        <f t="shared" si="18"/>
        <v>1313</v>
      </c>
      <c r="K19" s="134">
        <f t="shared" si="18"/>
        <v>1495</v>
      </c>
      <c r="L19" s="134">
        <f t="shared" si="18"/>
        <v>336</v>
      </c>
      <c r="M19" s="134">
        <f t="shared" si="18"/>
        <v>340</v>
      </c>
      <c r="N19" s="134">
        <f t="shared" si="18"/>
        <v>801</v>
      </c>
      <c r="O19" s="134">
        <f t="shared" si="18"/>
        <v>272</v>
      </c>
      <c r="P19" s="134">
        <f t="shared" si="18"/>
        <v>38</v>
      </c>
      <c r="Q19" s="134">
        <f t="shared" si="18"/>
        <v>61</v>
      </c>
      <c r="R19" s="134">
        <f t="shared" si="18"/>
        <v>289</v>
      </c>
      <c r="S19" s="134">
        <f t="shared" si="18"/>
        <v>534</v>
      </c>
      <c r="T19" s="134">
        <f t="shared" si="18"/>
        <v>1326</v>
      </c>
      <c r="U19" s="134">
        <f t="shared" si="18"/>
        <v>1197</v>
      </c>
      <c r="V19" s="134">
        <f t="shared" si="18"/>
        <v>610</v>
      </c>
      <c r="W19" s="134">
        <f t="shared" si="18"/>
        <v>231</v>
      </c>
      <c r="X19" s="134">
        <f t="shared" si="18"/>
        <v>721</v>
      </c>
      <c r="Y19" s="134">
        <f t="shared" si="18"/>
        <v>14</v>
      </c>
      <c r="Z19" s="134">
        <f t="shared" si="18"/>
        <v>7</v>
      </c>
      <c r="AA19" s="134">
        <f t="shared" si="18"/>
        <v>12</v>
      </c>
      <c r="AB19" s="134">
        <f t="shared" si="18"/>
        <v>1</v>
      </c>
      <c r="AC19" s="134">
        <f t="shared" si="18"/>
        <v>0</v>
      </c>
      <c r="AD19" s="134">
        <f t="shared" si="18"/>
        <v>19</v>
      </c>
      <c r="AE19" s="134">
        <f t="shared" si="18"/>
        <v>18</v>
      </c>
      <c r="AF19" s="134">
        <f t="shared" si="18"/>
        <v>1</v>
      </c>
      <c r="AG19" s="134">
        <f t="shared" si="18"/>
        <v>9</v>
      </c>
      <c r="AH19" s="134">
        <f t="shared" si="18"/>
        <v>32</v>
      </c>
      <c r="AI19" s="134">
        <f t="shared" si="18"/>
        <v>27</v>
      </c>
      <c r="AJ19" s="134">
        <f t="shared" si="18"/>
        <v>14</v>
      </c>
      <c r="AK19" s="134">
        <f t="shared" si="18"/>
        <v>4</v>
      </c>
      <c r="AL19" s="134">
        <f t="shared" si="18"/>
        <v>0</v>
      </c>
      <c r="AM19" s="134">
        <f t="shared" si="18"/>
        <v>4</v>
      </c>
      <c r="AN19" s="209">
        <f t="shared" si="18"/>
        <v>0</v>
      </c>
      <c r="AO19" s="210">
        <v>2</v>
      </c>
      <c r="AP19" s="210">
        <v>1</v>
      </c>
      <c r="AQ19" s="210">
        <v>1</v>
      </c>
      <c r="AR19" s="210">
        <v>1</v>
      </c>
      <c r="AS19" s="152">
        <f t="shared" si="18"/>
        <v>0</v>
      </c>
      <c r="AT19" s="152">
        <f t="shared" si="18"/>
        <v>0</v>
      </c>
      <c r="AU19" s="210"/>
      <c r="AV19" s="211"/>
      <c r="AW19" s="210"/>
      <c r="AX19" s="211"/>
      <c r="AY19" s="133">
        <f>SUBTOTAL(9,AY9:AY18)</f>
        <v>543</v>
      </c>
      <c r="AZ19" s="134">
        <f>SUBTOTAL(9,AZ9:AZ18)</f>
        <v>1358</v>
      </c>
      <c r="BA19" s="134">
        <f>SUBTOTAL(9,BA9:BA18)</f>
        <v>1224</v>
      </c>
      <c r="BB19" s="134">
        <f>SUBTOTAL(9,BB9:BB18)</f>
        <v>624</v>
      </c>
      <c r="BC19" s="135">
        <f>SUBTOTAL(9,BC9:BC18)</f>
        <v>344</v>
      </c>
      <c r="BD19" s="212">
        <f>IF(ISNUMBER(BA19/AZ19),BA19/AZ19," - ")</f>
        <v>0.90132547864506629</v>
      </c>
      <c r="BE19" s="209">
        <f>IF(ISNUMBER(BB19/BA19),BB19/BA19, " - ")</f>
        <v>0.50980392156862742</v>
      </c>
      <c r="BF19" s="209">
        <f>IF(ISNUMBER(BC19/BA19),BC19/BA19, " - ")</f>
        <v>0.28104575163398693</v>
      </c>
      <c r="BG19" s="135">
        <f>IF(ISNUMBER((AY19+AZ19)/BA19),(AY19+AZ19)/BA19," - ")</f>
        <v>1.5531045751633987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1OrkA9DDA+tijH5XzBUkRo4SfA/EGR7rPdp3WHlZIO7PSS8GYqIip1ERAPRV7mqW0Bo2o4IY0cfztBGii8vMg==" saltValue="uYV+k55utrSP+VJO3N1w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wPqmDIivwTjqPs+4kx3n9W/LpkSj9U8mA3yDRYYiJG0oSG7IqQgJdw3QAlJpFeLv96eY0D4PMl7ZOjudeI8Q==" saltValue="8szrDecO8n7zS9ryesBt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270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269</v>
      </c>
      <c r="BD12" s="228">
        <f>IF(ISNUMBER(Datos!N12),Datos!N12," - ")</f>
        <v>364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1.2280945757997219</v>
      </c>
      <c r="BH12" s="259">
        <f>IF(ISNUMBER(((IF(J_V="SI",Datos!L12/Datos!K12,(Datos!L12+Datos!AB12)/(Datos!K12+Datos!AA12)))*11)/factor_trimestre),((IF(J_V="SI",Datos!L12/Datos!K12,(Datos!L12+Datos!AB12)/(Datos!K12+Datos!AA12)))*11)/factor_trimestre," - ")</f>
        <v>2.9773499433748585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-7.2164948453608241E-2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45</v>
      </c>
      <c r="AD13" s="898">
        <f t="shared" si="1"/>
        <v>0</v>
      </c>
      <c r="AE13" s="898">
        <f t="shared" si="1"/>
        <v>0</v>
      </c>
      <c r="AF13" s="898">
        <f t="shared" si="1"/>
        <v>1</v>
      </c>
      <c r="AG13" s="898">
        <f t="shared" si="1"/>
        <v>0</v>
      </c>
      <c r="AH13" s="898">
        <f t="shared" si="1"/>
        <v>1</v>
      </c>
      <c r="AI13" s="898">
        <f t="shared" si="1"/>
        <v>0</v>
      </c>
      <c r="AJ13" s="898">
        <f t="shared" si="1"/>
        <v>0</v>
      </c>
      <c r="AK13" s="898">
        <f t="shared" si="1"/>
        <v>0</v>
      </c>
      <c r="AL13" s="898">
        <f t="shared" si="1"/>
        <v>0</v>
      </c>
      <c r="AM13" s="898">
        <f t="shared" si="1"/>
        <v>270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269</v>
      </c>
      <c r="BD13" s="898">
        <f t="shared" si="1"/>
        <v>364</v>
      </c>
      <c r="BE13" s="898">
        <f t="shared" si="1"/>
        <v>0</v>
      </c>
      <c r="BF13" s="898">
        <f t="shared" si="1"/>
        <v>0</v>
      </c>
      <c r="BG13" s="898">
        <f>IF(ISNUMBER(Datos!K13/Datos!J13),Datos!K13/Datos!J13," - ")</f>
        <v>1.2215988779803646</v>
      </c>
      <c r="BH13" s="902">
        <f>IF(ISNUMBER(((Datos!L13/Datos!K13)*11)/factor_trimestre),((Datos!L13/Datos!K13)*11)/factor_trimestre," - ")</f>
        <v>3.0183696900114811</v>
      </c>
      <c r="BI13" s="898">
        <f>IF(ISNUMBER('Resol  Asuntos'!D13/NºAsuntos!G13),'Resol  Asuntos'!D13/NºAsuntos!G13," - ")</f>
        <v>0.30464326160815403</v>
      </c>
      <c r="BJ13" s="898" t="str">
        <f>IF(ISNUMBER(Datos!CI13/Datos!CJ13),Datos!CI13/Datos!CJ13," - ")</f>
        <v xml:space="preserve"> - </v>
      </c>
      <c r="BK13" s="898">
        <f>SUBTOTAL(9,BK8:BK12)</f>
        <v>0</v>
      </c>
      <c r="BL13" s="898" t="str">
        <f>IF(ISNUMBER((I13-AB13+L13)/(F13)),(I13-AB13+L13)/(F13)," - ")</f>
        <v xml:space="preserve"> - </v>
      </c>
      <c r="BM13" s="903">
        <f>SUBTOTAL(9,BM9:BM12)</f>
        <v>-1.0721649484536082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111</v>
      </c>
      <c r="G16" s="597">
        <f>IF(ISNUMBER(IF(D_I="SI",Datos!I16,Datos!I16+Datos!AC16)),IF(D_I="SI",Datos!I16,Datos!I16+Datos!AC16)," - ")</f>
        <v>111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568</v>
      </c>
      <c r="AC16" s="225">
        <f>IF(ISNUMBER(Datos!Q16),Datos!Q16," - ")</f>
        <v>15</v>
      </c>
      <c r="AD16" s="333"/>
      <c r="AE16" s="483"/>
      <c r="AF16" s="595">
        <f>IF(ISNUMBER(IF(D_I="SI",Datos!L16,Datos!L16+Datos!AF16)),IF(D_I="SI",Datos!L16,Datos!L16+Datos!AF16)," - ")</f>
        <v>88</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63</v>
      </c>
      <c r="BD16" s="228">
        <f>IF(ISNUMBER(Datos!N16),Datos!N16," - ")</f>
        <v>398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1.0422018348623854</v>
      </c>
      <c r="BH16" s="259">
        <f>IF(ISNUMBER(((IF(D_I="SI",Datos!L16/Datos!K16,(Datos!L16+Datos!AF16)/(Datos!K16+Datos!AE16)))*11)/factor_trimestre),((IF(D_I="SI",Datos!L16/Datos!K16,(Datos!L16+Datos!AF16)/(Datos!K16+Datos!AE16)))*11)/factor_trimestre," - ")</f>
        <v>1.704225352112676</v>
      </c>
      <c r="BI16" s="242">
        <f>IF(ISNUMBER('Resol  Asuntos'!D16/NºAsuntos!G16),'Resol  Asuntos'!D16/NºAsuntos!G16," - ")</f>
        <v>0.11091549295774648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1</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1.0181818181818181</v>
      </c>
      <c r="BH17" s="259">
        <f>IF(ISNUMBER(((IF(D_I="SI",Datos!L17/Datos!K17,(Datos!L17+Datos!AF17)/(Datos!K17+Datos!AE17)))*11)/factor_trimestre),((IF(D_I="SI",Datos!L17/Datos!K17,(Datos!L17+Datos!AF17)/(Datos!K17+Datos!AE17)))*11)/factor_trimestre," - ")</f>
        <v>1.767857142857143</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111</v>
      </c>
      <c r="G18" s="897">
        <f>SUBTOTAL(9,G15:G17)</f>
        <v>118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624</v>
      </c>
      <c r="AC18" s="898">
        <f t="shared" si="4"/>
        <v>16</v>
      </c>
      <c r="AD18" s="898">
        <f t="shared" si="4"/>
        <v>0</v>
      </c>
      <c r="AE18" s="898">
        <f t="shared" si="4"/>
        <v>0</v>
      </c>
      <c r="AF18" s="898">
        <f t="shared" si="4"/>
        <v>97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437</v>
      </c>
      <c r="BE18" s="898">
        <f t="shared" si="4"/>
        <v>0</v>
      </c>
      <c r="BF18" s="898">
        <f t="shared" si="4"/>
        <v>0</v>
      </c>
      <c r="BG18" s="898">
        <f>IF(ISNUMBER(Datos!K18/Datos!J18),Datos!K18/Datos!J18," - ")</f>
        <v>1.04</v>
      </c>
      <c r="BH18" s="902">
        <f>IF(ISNUMBER(((Datos!L18/Datos!K18)*11)/factor_trimestre),((Datos!L18/Datos!K18)*11)/factor_trimestre," - ")</f>
        <v>1.7099358974358974</v>
      </c>
      <c r="BI18" s="898">
        <f>SUBTOTAL(9,BI15:BI17)</f>
        <v>0.25377263581488935</v>
      </c>
      <c r="BJ18" s="898">
        <f>SUBTOTAL(9,BJ15:BJ17)</f>
        <v>0</v>
      </c>
      <c r="BK18" s="898">
        <f>SUBTOTAL(9,BK15:BK17)</f>
        <v>0</v>
      </c>
      <c r="BL18" s="898">
        <f>IF(ISNUMBER((I18-AB18+L18)/(F18)),(I18-AB18+L18)/(F18)," - ")</f>
        <v>-5.6216216216216219</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111</v>
      </c>
      <c r="G19" s="819">
        <f t="shared" si="6"/>
        <v>118</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624</v>
      </c>
      <c r="AC19" s="820">
        <f t="shared" si="7"/>
        <v>61</v>
      </c>
      <c r="AD19" s="820">
        <f t="shared" si="7"/>
        <v>0</v>
      </c>
      <c r="AE19" s="820">
        <f t="shared" si="7"/>
        <v>0</v>
      </c>
      <c r="AF19" s="827">
        <f t="shared" si="7"/>
        <v>98</v>
      </c>
      <c r="AG19" s="827">
        <f t="shared" si="7"/>
        <v>0</v>
      </c>
      <c r="AH19" s="827">
        <f t="shared" si="7"/>
        <v>1</v>
      </c>
      <c r="AI19" s="827">
        <f t="shared" si="7"/>
        <v>0</v>
      </c>
      <c r="AJ19" s="820">
        <f t="shared" si="7"/>
        <v>0</v>
      </c>
      <c r="AK19" s="827">
        <f t="shared" si="7"/>
        <v>0</v>
      </c>
      <c r="AL19" s="827">
        <f t="shared" si="7"/>
        <v>0</v>
      </c>
      <c r="AM19" s="827">
        <f t="shared" si="7"/>
        <v>289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340</v>
      </c>
      <c r="BD19" s="819">
        <f t="shared" si="7"/>
        <v>801</v>
      </c>
      <c r="BE19" s="819">
        <f t="shared" si="7"/>
        <v>0</v>
      </c>
      <c r="BF19" s="829">
        <f t="shared" si="7"/>
        <v>0</v>
      </c>
      <c r="BG19" s="914">
        <f>IF(ISNUMBER(Datos!K19/Datos!J19),Datos!K19/Datos!J19," - ")</f>
        <v>1.1386138613861385</v>
      </c>
      <c r="BH19" s="914">
        <f>IF(ISNUMBER(((Datos!L19/Datos!K19)*11)/factor_trimestre),((Datos!L19/Datos!K19)*11)/factor_trimestre," - ")</f>
        <v>2.4722408026755853</v>
      </c>
      <c r="BI19" s="812">
        <f>IF(ISNUMBER(Datos!J19/Datos!I19),Datos!J19/Datos!I19," - ")</f>
        <v>2.1524590163934425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-5.6216216216216219</v>
      </c>
      <c r="BM19" s="888">
        <f>IF(ISNUMBER((Datos!P19-Datos!Q19+R19)/(Datos!R19-Datos!P19+Datos!Q19-R19)),(Datos!P19-Datos!Q19+R19)/(Datos!R19-Datos!P19+Datos!Q19-R19)," - ")</f>
        <v>-7.371794871794872E-2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64.085879880048466</v>
      </c>
      <c r="G21" s="551">
        <f>IF(ISNUMBER(STDEV(G8:G18)),STDEV(G8:G18),"-")</f>
        <v>61.55241668691815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317.66145501146343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123.87843503478184</v>
      </c>
      <c r="BD21" s="550"/>
      <c r="BE21" s="550">
        <f>IF(ISNUMBER(STDEV(BE8:BE18)),STDEV(BE8:BE18),"-")</f>
        <v>0</v>
      </c>
      <c r="BF21" s="555">
        <f>IF(ISNUMBER(STDEV(BF8:BF18)),STDEV(BF8:BF18),"-")</f>
        <v>0</v>
      </c>
      <c r="BG21" s="774">
        <f>IF(ISNUMBER(STDEV(BG8:BG18)),STDEV(BG8:BG18),"-")</f>
        <v>0.46284043398179747</v>
      </c>
      <c r="BH21" s="775">
        <f>IF(ISNUMBER(STDEV(BH8:BH18)),STDEV(BH8:BH18),"-")</f>
        <v>0.69648878273832215</v>
      </c>
      <c r="BI21" s="248">
        <f>IF(ISNUMBER(STDEV(BI8:BI18)),STDEV(BI8:BI18),"-")</f>
        <v>9.1297907961173291E-2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kK1yaaHxpCa7624P8cLavY+V1VG9hKVMUmDXBEkKvU8zjlL56N5EKEMSBzXd+0tuUGVLxGHI9DtZvH7H4Mwkw==" saltValue="exbS4kSbhWGvUiBu5CAH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CALAMOCHA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270</v>
      </c>
      <c r="AF12" s="228" t="str">
        <f>IF(ISNUMBER(Datos!BV12),Datos!BV12," - ")</f>
        <v xml:space="preserve"> - </v>
      </c>
      <c r="AG12" s="224" t="str">
        <f>IF(ISNUMBER(Datos!DV12),Datos!DV12," - ")</f>
        <v xml:space="preserve"> - </v>
      </c>
      <c r="AH12" s="297"/>
      <c r="AI12" s="226"/>
      <c r="AJ12" s="224">
        <f>IF(ISNUMBER(Datos!M12),Datos!M12," - ")</f>
        <v>269</v>
      </c>
      <c r="AK12" s="228">
        <f>IF(ISNUMBER(Datos!N12),Datos!N12," - ")</f>
        <v>364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2.9773499433748585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-7.2164948453608241E-2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45</v>
      </c>
      <c r="AA13" s="899">
        <f t="shared" si="2"/>
        <v>1</v>
      </c>
      <c r="AB13" s="899">
        <f t="shared" si="2"/>
        <v>0</v>
      </c>
      <c r="AC13" s="899">
        <f t="shared" si="2"/>
        <v>0</v>
      </c>
      <c r="AD13" s="899">
        <f t="shared" si="2"/>
        <v>0</v>
      </c>
      <c r="AE13" s="899">
        <f t="shared" si="2"/>
        <v>270</v>
      </c>
      <c r="AF13" s="907">
        <f t="shared" si="2"/>
        <v>0</v>
      </c>
      <c r="AG13" s="907">
        <f t="shared" si="2"/>
        <v>0</v>
      </c>
      <c r="AH13" s="907">
        <f t="shared" si="2"/>
        <v>0</v>
      </c>
      <c r="AI13" s="907">
        <f t="shared" si="2"/>
        <v>0</v>
      </c>
      <c r="AJ13" s="907">
        <f t="shared" si="2"/>
        <v>269</v>
      </c>
      <c r="AK13" s="907">
        <f t="shared" si="2"/>
        <v>364</v>
      </c>
      <c r="AL13" s="907">
        <f t="shared" si="2"/>
        <v>0</v>
      </c>
      <c r="AM13" s="907">
        <f t="shared" si="2"/>
        <v>0</v>
      </c>
      <c r="AN13" s="907">
        <f t="shared" si="2"/>
        <v>0</v>
      </c>
      <c r="AO13" s="903">
        <f>IF(ISNUMBER(((NºAsuntos!I13/NºAsuntos!G13)*11)/factor_trimestre),((NºAsuntos!I13/NºAsuntos!G13)*11)/factor_trimestre," - ")</f>
        <v>2.989807474518686</v>
      </c>
      <c r="AP13" s="909" t="str">
        <f>IF(ISNUMBER(Datos!CI13/Datos!CJ13),Datos!CI13/Datos!CJ13," - ")</f>
        <v xml:space="preserve"> - </v>
      </c>
      <c r="AQ13" s="927">
        <f t="shared" ref="AQ13:AV13" si="3">SUBTOTAL(9,AQ9:AQ12)</f>
        <v>0</v>
      </c>
      <c r="AR13" s="927">
        <f t="shared" si="3"/>
        <v>-1.0721649484536082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111</v>
      </c>
      <c r="G16" s="224">
        <f>IF(ISNUMBER(IF(D_I="SI",Datos!I16,Datos!I16+Datos!AC16)),IF(D_I="SI",Datos!I16,Datos!I16+Datos!AC16)," - ")</f>
        <v>111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568</v>
      </c>
      <c r="Z16" s="618">
        <f>IF(ISNUMBER(Datos!Q16),Datos!Q16," - ")</f>
        <v>15</v>
      </c>
      <c r="AA16" s="331">
        <f>IF(ISNUMBER(IF(D_I="SI",Datos!L16,Datos!L16+Datos!AF16)),IF(D_I="SI",Datos!L16,Datos!L16+Datos!AF16)," - ")</f>
        <v>88</v>
      </c>
      <c r="AB16" s="333"/>
      <c r="AC16" s="333"/>
      <c r="AD16" s="483"/>
      <c r="AE16" s="483">
        <f>IF(ISNUMBER(Datos!R16),Datos!R16," - ")</f>
        <v>19</v>
      </c>
      <c r="AF16" s="228" t="str">
        <f>IF(ISNUMBER(Datos!BV16),Datos!BV16," - ")</f>
        <v xml:space="preserve"> - </v>
      </c>
      <c r="AG16" s="224"/>
      <c r="AH16" s="297"/>
      <c r="AI16" s="226"/>
      <c r="AJ16" s="224">
        <f>IF(ISNUMBER(Datos!M16),Datos!M16," - ")</f>
        <v>63</v>
      </c>
      <c r="AK16" s="228">
        <f>IF(ISNUMBER(Datos!N16),Datos!N16," - ")</f>
        <v>398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1.704225352112676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1</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1.767857142857143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111</v>
      </c>
      <c r="G18" s="897">
        <f>SUBTOTAL(9,G15:G17)</f>
        <v>118</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624</v>
      </c>
      <c r="Z18" s="931">
        <f t="shared" si="5"/>
        <v>16</v>
      </c>
      <c r="AA18" s="931">
        <f t="shared" si="5"/>
        <v>97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71</v>
      </c>
      <c r="AK18" s="931">
        <f t="shared" si="5"/>
        <v>437</v>
      </c>
      <c r="AL18" s="931">
        <f t="shared" si="5"/>
        <v>0</v>
      </c>
      <c r="AM18" s="931">
        <f t="shared" si="5"/>
        <v>0</v>
      </c>
      <c r="AN18" s="931">
        <f t="shared" si="5"/>
        <v>0</v>
      </c>
      <c r="AO18" s="933">
        <f>IF(ISNUMBER(((NºAsuntos!I18/NºAsuntos!G18)*11)/factor_trimestre),((NºAsuntos!I18/NºAsuntos!G18)*11)/factor_trimestre," - ")</f>
        <v>1.7099358974358974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111</v>
      </c>
      <c r="G19" s="819">
        <f t="shared" si="7"/>
        <v>118</v>
      </c>
      <c r="H19" s="820">
        <f t="shared" si="7"/>
        <v>0</v>
      </c>
      <c r="I19" s="819">
        <f t="shared" si="7"/>
        <v>0</v>
      </c>
      <c r="J19" s="821">
        <f t="shared" si="7"/>
        <v>0</v>
      </c>
      <c r="K19" s="819">
        <f t="shared" si="7"/>
        <v>0</v>
      </c>
      <c r="L19" s="822">
        <f t="shared" si="7"/>
        <v>0</v>
      </c>
      <c r="M19" s="819">
        <f t="shared" si="7"/>
        <v>0</v>
      </c>
      <c r="N19" s="820">
        <f t="shared" si="7"/>
        <v>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624</v>
      </c>
      <c r="Z19" s="826">
        <f t="shared" si="8"/>
        <v>61</v>
      </c>
      <c r="AA19" s="827">
        <f t="shared" si="8"/>
        <v>98</v>
      </c>
      <c r="AB19" s="827">
        <f t="shared" si="8"/>
        <v>0</v>
      </c>
      <c r="AC19" s="827">
        <f t="shared" si="8"/>
        <v>0</v>
      </c>
      <c r="AD19" s="828">
        <f t="shared" si="8"/>
        <v>0</v>
      </c>
      <c r="AE19" s="828">
        <f t="shared" si="8"/>
        <v>289</v>
      </c>
      <c r="AF19" s="829">
        <f t="shared" si="8"/>
        <v>0</v>
      </c>
      <c r="AG19" s="830">
        <f t="shared" si="8"/>
        <v>0</v>
      </c>
      <c r="AH19" s="831">
        <f t="shared" si="8"/>
        <v>0</v>
      </c>
      <c r="AI19" s="829">
        <f t="shared" si="8"/>
        <v>0</v>
      </c>
      <c r="AJ19" s="819">
        <f t="shared" si="8"/>
        <v>340</v>
      </c>
      <c r="AK19" s="819">
        <f t="shared" si="8"/>
        <v>801</v>
      </c>
      <c r="AL19" s="819">
        <f t="shared" si="8"/>
        <v>0</v>
      </c>
      <c r="AM19" s="832">
        <f t="shared" si="8"/>
        <v>0</v>
      </c>
      <c r="AN19" s="822">
        <f>IF(ISNUMBER(Datos!K19/Datos!J19),Datos!K19/Datos!J19," - ")</f>
        <v>1.1386138613861385</v>
      </c>
      <c r="AO19" s="822">
        <f>IF(ISNUMBER(FIND("06",Criterios!A8,1)),(IF(ISNUMBER(((Datos!R19/Datos!Q19)*11)/factor_trimestre),((Datos!R19/Datos!Q19)*11)/factor_trimestre," - ")),(IF(ISNUMBER(((Datos!L19/Datos!K19)*11)/factor_trimestre),((Datos!L19/Datos!K19)*11)/factor_trimestre," - ")))</f>
        <v>2.4722408026755853</v>
      </c>
      <c r="AP19" s="833" t="str">
        <f>IF(ISNUMBER(Datos!CI19/Datos!CJ19),Datos!CI19/Datos!CJ19," - ")</f>
        <v xml:space="preserve"> - </v>
      </c>
      <c r="AQ19" s="833">
        <f>IF(OR(ISNUMBER(FIND("01",Criterios!A8,1)),ISNUMBER(FIND("02",Criterios!A8,1)),ISNUMBER(FIND("03",Criterios!A8,1)),ISNUMBER(FIND("04",Criterios!A8,1))),(J19-Y19+K19)/(F19-K19),(I19-Y19+K19)/(F19-K19))</f>
        <v>-5.6216216216216219</v>
      </c>
      <c r="AR19" s="833">
        <f>IF(ISNUMBER((Datos!P19-Datos!Q19+O19)/(Datos!R19-Datos!P19+Datos!Q19-O19)),(Datos!P19-Datos!Q19+O19)/(Datos!R19-Datos!P19+Datos!Q19-O19)," - ")</f>
        <v>-7.371794871794872E-2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64.085879880048466</v>
      </c>
      <c r="G21" s="551">
        <f>IF(ISNUMBER(STDEV(G8:G18)),STDEV(G8:G18),"-")</f>
        <v>61.55241668691815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123.87843503478184</v>
      </c>
      <c r="AK21" s="251"/>
      <c r="AL21" s="251">
        <f>IF(ISNUMBER(STDEV(AL8:AL18)),STDEV(AL8:AL18),"-")</f>
        <v>0</v>
      </c>
      <c r="AM21" s="253">
        <f>IF(ISNUMBER(STDEV(AM8:AM18)),STDEV(AM8:AM18),"-")</f>
        <v>0</v>
      </c>
      <c r="AN21" s="538">
        <f>IF(ISNUMBER(STDEV(AN8:AN18)),STDEV(AN8:AN18),"-")</f>
        <v>0</v>
      </c>
      <c r="AO21" s="539">
        <f>IF(ISNUMBER(STDEV(AO8:AO18)),STDEV(AO8:AO18),"-")</f>
        <v>0.68853483424663109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g8ZdIfBjrGWCQrFhOWvbt6WHIPk/5oT8xcUpxUDSQfT9Jpi3hotnHUEoclCtqG7WJTo2FtkqhcRjJlqAQA9yw==" saltValue="LiU98AsNuvxv/f0UY8LG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1coDlLIdqfaOS4QMI24tHyBbPw2J/6kk2yKRBcTDCJYtU1t4GJx7VGfOGJPW12im91a8vts6Onypo2I/WY0nA==" saltValue="so7TFYx4kkSgtEDIj/XR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UZYlcb1JKWxPUaGBo5goV8tBxoFRasDUK43yC8s2EfVVVjniF4ZAqFxPcLXQbas0zz4RYOe4iz6OF6oXcMyZw==" saltValue="uPHQruFDoBU+qFzVQkj+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CALAMOCHA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0.30464326160815403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0.21541531612591311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Q8fN2ldmlnNK6nszzeDcKfcg5Az7r+cKGsXOdOrHpmn1vAm2t+bgupHFrZyKrUi4BIlVWBVmgIIEA4g8BUXHg==" saltValue="WQ58xaXE+jhcUN/7kavo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hPQC4jI891lGWO8xBQR1esQOvDT0QodWNfFQZocdVQcH4yF6JFQdCcq6a0bdV32jKnQfJKLuuNCrVb4rNCobA==" saltValue="o/lkCewTWxFyoTWpYDlp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CALAMOCHA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506</v>
      </c>
      <c r="D12" s="403">
        <f>IF(ISNUMBER(C12/Datos!BH12),C12/Datos!BH12," - ")</f>
        <v>506</v>
      </c>
      <c r="E12" s="402">
        <f>IF(ISNUMBER(IF(J_V="SI",Datos!J12,Datos!J12+Datos!Z12)),IF(J_V="SI",Datos!J12,Datos!J12+Datos!Z12)," - ")</f>
        <v>719</v>
      </c>
      <c r="F12" s="403">
        <f>IF(ISNUMBER(E12/B12),E12/B12," - ")</f>
        <v>719</v>
      </c>
      <c r="G12" s="402">
        <f>IF(ISNUMBER(IF(J_V="SI",Datos!K12,Datos!K12+Datos!AA12)),IF(J_V="SI",Datos!K12,Datos!K12+Datos!AA12)," - ")</f>
        <v>883</v>
      </c>
      <c r="H12" s="403">
        <f>IF(ISNUMBER(G12/B12),G12/B12," - ")</f>
        <v>883</v>
      </c>
      <c r="I12" s="402">
        <f>IF(ISNUMBER(IF(J_V="SI",Datos!L12,Datos!L12+Datos!AB12)),IF(J_V="SI",Datos!L12,Datos!L12+Datos!AB12)," - ")</f>
        <v>239</v>
      </c>
      <c r="J12" s="403">
        <f>IF(ISNUMBER(I12/B12),I12/B12," - ")</f>
        <v>239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506</v>
      </c>
      <c r="D13" s="849" t="str">
        <f>IF(ISNUMBER(C13/Datos!BI13),C13/Datos!BI13," - ")</f>
        <v xml:space="preserve"> - </v>
      </c>
      <c r="E13" s="848">
        <f>SUBTOTAL(9,E8:E12)</f>
        <v>720</v>
      </c>
      <c r="F13" s="849">
        <f>IF(ISNUMBER(E13/B13),E13/B13," - ")</f>
        <v>720</v>
      </c>
      <c r="G13" s="848">
        <f>SUBTOTAL(9,G8:G12)</f>
        <v>883</v>
      </c>
      <c r="H13" s="849">
        <f>IF(ISNUMBER(G13/B13),G13/B13," - ")</f>
        <v>883</v>
      </c>
      <c r="I13" s="848">
        <f>SUBTOTAL(9,I8:I12)</f>
        <v>240</v>
      </c>
      <c r="J13" s="849">
        <f>IF(ISNUMBER(I13/B13),I13/B13," - ")</f>
        <v>240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111</v>
      </c>
      <c r="D16" s="403">
        <f>IF(ISNUMBER(C16/Datos!BH16),C16/Datos!BH16," - ")</f>
        <v>111</v>
      </c>
      <c r="E16" s="402">
        <f>IF(ISNUMBER(IF(D_I="SI",Datos!J16,Datos!J16+Datos!AD16)),IF(D_I="SI",Datos!J16,Datos!J16+Datos!AD16)," - ")</f>
        <v>545</v>
      </c>
      <c r="F16" s="403">
        <f>IF(ISNUMBER(E16/B16),E16/B16," - ")</f>
        <v>545</v>
      </c>
      <c r="G16" s="402">
        <f>IF(ISNUMBER(IF(D_I="SI",Datos!K16,Datos!K16+Datos!AE16)),IF(D_I="SI",Datos!K16,Datos!K16+Datos!AE16)," - ")</f>
        <v>568</v>
      </c>
      <c r="H16" s="403">
        <f>IF(ISNUMBER(G16/B16),G16/B16," - ")</f>
        <v>568</v>
      </c>
      <c r="I16" s="402">
        <f>IF(ISNUMBER(IF(D_I="SI",Datos!L16,Datos!L16+Datos!AF16)),IF(D_I="SI",Datos!L16,Datos!L16+Datos!AF16)," - ")</f>
        <v>88</v>
      </c>
      <c r="J16" s="403">
        <f>IF(ISNUMBER(I16/B16),I16/B16," - ")</f>
        <v>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55</v>
      </c>
      <c r="F17" s="403">
        <f>IF(ISNUMBER(E17/B17),E17/B17," - ")</f>
        <v>55</v>
      </c>
      <c r="G17" s="402">
        <f>IF(ISNUMBER(IF(D_I="SI",Datos!K17,Datos!K17+Datos!AE17)),IF(D_I="SI",Datos!K17,Datos!K17+Datos!AE17)," - ")</f>
        <v>56</v>
      </c>
      <c r="H17" s="403">
        <f>IF(ISNUMBER(G17/B17),G17/B17," - ")</f>
        <v>56</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118</v>
      </c>
      <c r="D18" s="849" t="str">
        <f>IF(ISNUMBER(C18/Datos!BI18),C18/Datos!BI18," - ")</f>
        <v xml:space="preserve"> - </v>
      </c>
      <c r="E18" s="848">
        <f>SUBTOTAL(9,E14:E17)</f>
        <v>600</v>
      </c>
      <c r="F18" s="849">
        <f>IF(ISNUMBER(E18/B18),E18/B18," - ")</f>
        <v>600</v>
      </c>
      <c r="G18" s="848">
        <f>SUBTOTAL(9,G14:G17)</f>
        <v>624</v>
      </c>
      <c r="H18" s="849">
        <f>IF(ISNUMBER(G18/B18),G18/B18," - ")</f>
        <v>624</v>
      </c>
      <c r="I18" s="848">
        <f>SUBTOTAL(9,I14:I17)</f>
        <v>97</v>
      </c>
      <c r="J18" s="849">
        <f>IF(ISNUMBER(I18/B18),I18/B18," - ")</f>
        <v>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624</v>
      </c>
      <c r="D19" s="794" t="str">
        <f>IF(ISNUMBER(C19/Datos!BI19),C19/Datos!BI19," - ")</f>
        <v xml:space="preserve"> - </v>
      </c>
      <c r="E19" s="793">
        <f>SUBTOTAL(9,E9:E18)</f>
        <v>1320</v>
      </c>
      <c r="F19" s="794">
        <f>IF(ISNUMBER(E19/B19),E19/B19," - ")</f>
        <v>1320</v>
      </c>
      <c r="G19" s="793">
        <f>SUBTOTAL(9,G9:G18)</f>
        <v>1507</v>
      </c>
      <c r="H19" s="794">
        <f>IF(ISNUMBER(G19/B19),G19/B19," - ")</f>
        <v>1507</v>
      </c>
      <c r="I19" s="793">
        <f>SUBTOTAL(9,I9:I18)</f>
        <v>337</v>
      </c>
      <c r="J19" s="794">
        <f>IF(ISNUMBER(I19/B19),I19/B19," - ")</f>
        <v>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mHZ4ZI//Fp2R4efiCTT6i1YxTmRtLHyie+vsucwvexRJFSmf/J/K6xmKrrurevzoy7HIhuCB7QzwoSROpOLPw==" saltValue="c9dn6yEoip584YGGoy+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CALAMOCHA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269</v>
      </c>
      <c r="AM12" s="689">
        <f>IF(ISNUMBER(Datos!N12+DatosP!N16),Datos!N12+DatosP!N16," - ")</f>
        <v>364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2.9773499433748585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-7.2164948453608241E-2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44</v>
      </c>
      <c r="AE13" s="938">
        <f t="shared" si="1"/>
        <v>0</v>
      </c>
      <c r="AF13" s="938">
        <f t="shared" si="1"/>
        <v>1</v>
      </c>
      <c r="AG13" s="938">
        <f t="shared" si="1"/>
        <v>0</v>
      </c>
      <c r="AH13" s="938">
        <f t="shared" si="1"/>
        <v>270</v>
      </c>
      <c r="AI13" s="938">
        <f t="shared" si="1"/>
        <v>0</v>
      </c>
      <c r="AJ13" s="938">
        <f t="shared" si="1"/>
        <v>0</v>
      </c>
      <c r="AK13" s="938">
        <f t="shared" si="1"/>
        <v>0</v>
      </c>
      <c r="AL13" s="938">
        <f t="shared" si="1"/>
        <v>269</v>
      </c>
      <c r="AM13" s="938">
        <f t="shared" si="1"/>
        <v>364</v>
      </c>
      <c r="AN13" s="938">
        <f t="shared" si="1"/>
        <v>0</v>
      </c>
      <c r="AO13" s="938">
        <f t="shared" si="1"/>
        <v>0</v>
      </c>
      <c r="AP13" s="943">
        <f>IF(ISNUMBER(((Datos!L13/Datos!K13)*11)/factor_trimestre),((Datos!L13/Datos!K13)*11)/factor_trimestre," - ")</f>
        <v>3.0183696900114811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-7.2164948453608241E-2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1.7099358974358974</v>
      </c>
      <c r="AQ18" s="943">
        <f>IF(ISNUMBER(((Datos!M18/Datos!L18)*11)/factor_trimestre),((Datos!M18/Datos!L18)*11)/factor_trimestre," - ")</f>
        <v>8.0515463917525771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-2.4793388429752067E-2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44</v>
      </c>
      <c r="AE19" s="956">
        <f t="shared" si="5"/>
        <v>0</v>
      </c>
      <c r="AF19" s="957">
        <f t="shared" si="5"/>
        <v>1</v>
      </c>
      <c r="AG19" s="957">
        <f t="shared" si="5"/>
        <v>0</v>
      </c>
      <c r="AH19" s="957">
        <f t="shared" si="5"/>
        <v>270</v>
      </c>
      <c r="AI19" s="957">
        <f t="shared" si="5"/>
        <v>0</v>
      </c>
      <c r="AJ19" s="958">
        <f t="shared" si="5"/>
        <v>0</v>
      </c>
      <c r="AK19" s="958">
        <f t="shared" si="5"/>
        <v>0</v>
      </c>
      <c r="AL19" s="950">
        <f t="shared" si="5"/>
        <v>269</v>
      </c>
      <c r="AM19" s="950">
        <f t="shared" si="5"/>
        <v>364</v>
      </c>
      <c r="AN19" s="950">
        <f t="shared" si="5"/>
        <v>0</v>
      </c>
      <c r="AO19" s="950">
        <f t="shared" si="5"/>
        <v>0</v>
      </c>
      <c r="AP19" s="950">
        <f>IF(ISNUMBER(((Datos!L19/Datos!K19)*11)/factor_trimestre),((Datos!L19/Datos!K19)*11)/factor_trimestre," - ")</f>
        <v>2.4722408026755853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-7.371794871794872E-2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155.30722241200934</v>
      </c>
      <c r="AM21" s="735"/>
      <c r="AN21" s="735">
        <f>IF(ISNUMBER(STDEV(AN8:AN18)),STDEV(AN8:AN18),"-")</f>
        <v>0</v>
      </c>
      <c r="AO21" s="741">
        <f>IF(ISNUMBER(STDEV(AO8:AO18)),STDEV(AO8:AO18),"-")</f>
        <v>0</v>
      </c>
      <c r="AP21" s="778">
        <f>IF(ISNUMBER(STDEV(AP8:AP18)),STDEV(AP8:AP18),"-")</f>
        <v>0.74386602434076454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A0gdtcWN2b+B1EzflTmbc9BC1DrLm6orRMRh4zbCOaPWW388mDWwFJSEOlM+W0DJWvHz7HeIKgiMiu7nZjmTw==" saltValue="p5HyDuoYXZ+bs+b0rEbi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CALAMOCHA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giG4oiHQmJSEZE8FIun46TihOUXxhvJoCu2pVxmotIW88I9b0MoJCLHSYHE11f8DcsfHdUtBrm7vmkjZpOzrA==" saltValue="j0jh/I+VNfFJzOXinxH4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CALAMOCHA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269</v>
      </c>
      <c r="E12" s="403">
        <f t="shared" si="0"/>
        <v>269</v>
      </c>
      <c r="F12" s="402">
        <f>IF(ISNUMBER(Datos!N12),Datos!N12," - ")</f>
        <v>364</v>
      </c>
      <c r="G12" s="403">
        <f t="shared" si="1"/>
        <v>364</v>
      </c>
      <c r="H12" s="402">
        <f>IF(ISNUMBER(Datos!O12),Datos!O12," - ")</f>
        <v>270</v>
      </c>
      <c r="I12" s="403">
        <f t="shared" si="2"/>
        <v>270</v>
      </c>
      <c r="BZ12" s="1185">
        <f>Datos!EZ12</f>
        <v>0</v>
      </c>
    </row>
    <row r="13" spans="1:78" ht="14.25" thickTop="1" thickBot="1">
      <c r="A13" s="847" t="str">
        <f>Datos!A13</f>
        <v>TOTAL</v>
      </c>
      <c r="B13" s="848">
        <f>Datos!AP13</f>
        <v>1</v>
      </c>
      <c r="C13" s="850">
        <f>Datos!AR13</f>
        <v>1</v>
      </c>
      <c r="D13" s="848">
        <f>SUBTOTAL(9,D9:D12)</f>
        <v>269</v>
      </c>
      <c r="E13" s="849">
        <f t="shared" si="0"/>
        <v>269</v>
      </c>
      <c r="F13" s="848">
        <f>SUBTOTAL(9,F9:F12)</f>
        <v>364</v>
      </c>
      <c r="G13" s="849">
        <f t="shared" si="1"/>
        <v>364</v>
      </c>
      <c r="H13" s="848">
        <f>SUBTOTAL(9,H9:H12)</f>
        <v>270</v>
      </c>
      <c r="I13" s="849">
        <f>IF(ISNUMBER(H13/B13),H13/B13," - ")</f>
        <v>270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63</v>
      </c>
      <c r="E16" s="403">
        <f t="shared" si="3"/>
        <v>63</v>
      </c>
      <c r="F16" s="402">
        <f>IF(ISNUMBER(Datos!N16),Datos!N16," - ")</f>
        <v>398</v>
      </c>
      <c r="G16" s="403">
        <f t="shared" si="4"/>
        <v>398</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71</v>
      </c>
      <c r="E18" s="849">
        <f t="shared" si="3"/>
        <v>71</v>
      </c>
      <c r="F18" s="848">
        <f>SUBTOTAL(9,F15:F17)</f>
        <v>437</v>
      </c>
      <c r="G18" s="849">
        <f t="shared" si="4"/>
        <v>437</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340</v>
      </c>
      <c r="E19" s="794">
        <f>IF(ISNUMBER(D19/B19),D19/B19," - ")</f>
        <v>340</v>
      </c>
      <c r="F19" s="793">
        <f>SUBTOTAL(9,F8:F18)</f>
        <v>801</v>
      </c>
      <c r="G19" s="794">
        <f>IF(ISNUMBER(F19/B19),F19/B19," - ")</f>
        <v>801</v>
      </c>
      <c r="H19" s="793">
        <f>SUBTOTAL(9,H8:H18)</f>
        <v>272</v>
      </c>
      <c r="I19" s="794">
        <f>IF(ISNUMBER(H19/B19),H19/B19," - ")</f>
        <v>272</v>
      </c>
    </row>
    <row r="22" spans="1:78">
      <c r="A22" s="390" t="str">
        <f>Criterios!A4</f>
        <v>Fecha Informe: 18 mar. 2026</v>
      </c>
    </row>
    <row r="27" spans="1:78">
      <c r="A27" s="413"/>
    </row>
  </sheetData>
  <sheetProtection algorithmName="SHA-512" hashValue="ZrQWkpzoW2/RX8VJfUVz/Zcm2wNT7VJ9u2mEzBn4jEemx+5wz2t+s2u+VExYNzY+25eFN3kMvI6/Coi1LSDQRQ==" saltValue="We5h8DorJ+WvfRepFQ0t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CALAMOCHA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v>
      </c>
      <c r="C12" s="433">
        <f>IF(ISNUMBER(Datos!Q12),Datos!Q12," - ")</f>
        <v>44</v>
      </c>
      <c r="D12" s="407">
        <f>IF(ISNUMBER(Datos!R12),Datos!R12," - ")</f>
        <v>270</v>
      </c>
    </row>
    <row r="13" spans="1:4" ht="14.25" thickTop="1" thickBot="1">
      <c r="A13" s="847" t="str">
        <f>Datos!A13</f>
        <v>TOTAL</v>
      </c>
      <c r="B13" s="848">
        <f>SUBTOTAL(9,B9:B12)</f>
        <v>23</v>
      </c>
      <c r="C13" s="852">
        <f>SUBTOTAL(9,C9:C12)</f>
        <v>45</v>
      </c>
      <c r="D13" s="850">
        <f>SUBTOTAL(9,D9:D12)</f>
        <v>270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15</v>
      </c>
      <c r="D16" s="407">
        <f>IF(ISNUMBER(Datos!R16),Datos!R16," - ")</f>
        <v>19</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15</v>
      </c>
      <c r="C18" s="852">
        <f>SUBTOTAL(9,C15:C17)</f>
        <v>16</v>
      </c>
      <c r="D18" s="850">
        <f>SUBTOTAL(9,D15:D17)</f>
        <v>19</v>
      </c>
    </row>
    <row r="19" spans="1:4" ht="16.5" customHeight="1" thickTop="1" thickBot="1">
      <c r="A19" s="792" t="str">
        <f>Datos!A19</f>
        <v>TOTAL JURISDICCIONES</v>
      </c>
      <c r="B19" s="797">
        <f>SUBTOTAL(9,B8:B18)</f>
        <v>38</v>
      </c>
      <c r="C19" s="798">
        <f>SUBTOTAL(9,C8:C18)</f>
        <v>61</v>
      </c>
      <c r="D19" s="799">
        <f>SUBTOTAL(9,D8:D18)</f>
        <v>289</v>
      </c>
    </row>
    <row r="20" spans="1:4" ht="7.5" customHeight="1"/>
    <row r="21" spans="1:4" ht="6" customHeight="1"/>
    <row r="22" spans="1:4">
      <c r="A22" s="390" t="str">
        <f>Criterios!A4</f>
        <v>Fecha Informe: 18 mar. 2026</v>
      </c>
    </row>
    <row r="27" spans="1:4">
      <c r="A27" s="413"/>
    </row>
  </sheetData>
  <sheetProtection algorithmName="SHA-512" hashValue="VyGYGIRag2WvwQwXfUeuqXgk/SVnFhNfzD57MOc6HkVFMzWbDPabCjkN2K3MhNa+gfTnMWg/VM3M+eQVeRGWqQ==" saltValue="dhuqeQH3v/L3Q90XAfZ/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CALAMOCHA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0.19621749408983452</v>
      </c>
      <c r="C12" s="455">
        <f>IF(ISNUMBER(
   IF(J_V="SI",(Datos!J12-Datos!T12)/Datos!T12,(Datos!J12+Datos!Z12-(Datos!T12+Datos!AH12))/(Datos!T12+Datos!AH12))
     ),IF(J_V="SI",(Datos!J12-Datos!T12)/Datos!T12,(Datos!J12+Datos!Z12-(Datos!T12+Datos!AH12))/(Datos!T12+Datos!AH12))," - ")</f>
        <v>-9.6418732782369149E-3</v>
      </c>
      <c r="D12" s="455">
        <f>IF(ISNUMBER(
   IF(J_V="SI",(Datos!K12-Datos!U12)/Datos!U12,(Datos!K12+Datos!AA12-(Datos!U12+Datos!AI12))/(Datos!U12+Datos!AI12))
     ),IF(J_V="SI",(Datos!K12-Datos!U12)/Datos!U12,(Datos!K12+Datos!AA12-(Datos!U12+Datos!AI12))/(Datos!U12+Datos!AI12))," - ")</f>
        <v>0.49155405405405406</v>
      </c>
      <c r="E12" s="455">
        <f>IF(ISNUMBER(
   IF(J_V="SI",(Datos!L12-Datos!V12)/Datos!V12,(Datos!L12+Datos!AB12-(Datos!V12+Datos!AJ12))/(Datos!V12+Datos!AJ12))
     ),IF(J_V="SI",(Datos!L12-Datos!V12)/Datos!V12,(Datos!L12+Datos!AB12-(Datos!V12+Datos!AJ12))/(Datos!V12+Datos!AJ12))," - ")</f>
        <v>-0.52766798418972327</v>
      </c>
      <c r="F12" s="455">
        <f>IF(ISNUMBER((Datos!M12-Datos!W12)/Datos!W12),(Datos!M12-Datos!W12)/Datos!W12," - ")</f>
        <v>0.70253164556962022</v>
      </c>
      <c r="G12" s="456">
        <f>IF(ISNUMBER((Datos!N12-Datos!X12)/Datos!X12),(Datos!N12-Datos!X12)/Datos!X12," - ")</f>
        <v>0.34317343173431736</v>
      </c>
      <c r="H12" s="454">
        <f>IF(ISNUMBER(((NºAsuntos!G12/NºAsuntos!E12)-Datos!BD12)/Datos!BD12),((NºAsuntos!G12/NºAsuntos!E12)-Datos!BD12)/Datos!BD12," - ")</f>
        <v>0.50607544261925352</v>
      </c>
      <c r="I12" s="455">
        <f>IF(ISNUMBER(((NºAsuntos!I12/NºAsuntos!G12)-Datos!BE12)/Datos!BE12),((NºAsuntos!I12/NºAsuntos!G12)-Datos!BE12)/Datos!BE12," - ")</f>
        <v>-0.6833289316424872</v>
      </c>
      <c r="J12" s="460">
        <f>IF(ISNUMBER((('Resol  Asuntos'!D12/NºAsuntos!G12)-Datos!BF12)/Datos!BF12),(('Resol  Asuntos'!D12/NºAsuntos!G12)-Datos!BF12)/Datos!BF12," - ")</f>
        <v>-0.33450623294454918</v>
      </c>
      <c r="K12" s="461">
        <f>IF(ISNUMBER((((NºAsuntos!C12+NºAsuntos!E12)/NºAsuntos!G12)-Datos!BG12)/Datos!BG12),(((NºAsuntos!C12+NºAsuntos!E12)/NºAsuntos!G12)-Datos!BG12)/Datos!BG12," - ")</f>
        <v>-0.28521231224749077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0.19058823529411764</v>
      </c>
      <c r="C13" s="854">
        <f>IF(ISNUMBER(
   IF(J_V="SI",(Datos!J13-Datos!T13)/Datos!T13,(Datos!J13+Datos!Z13-(Datos!T13+Datos!AH13))/(Datos!T13+Datos!AH13))
     ),IF(J_V="SI",(Datos!J13-Datos!T13)/Datos!T13,(Datos!J13+Datos!Z13-(Datos!T13+Datos!AH13))/(Datos!T13+Datos!AH13))," - ")</f>
        <v>-8.2644628099173556E-3</v>
      </c>
      <c r="D13" s="854">
        <f>IF(ISNUMBER(
   IF(J_V="SI",(Datos!K13-Datos!U13)/Datos!U13,(Datos!K13+Datos!AA13-(Datos!U13+Datos!AI13))/(Datos!U13+Datos!AI13))
     ),IF(J_V="SI",(Datos!K13-Datos!U13)/Datos!U13,(Datos!K13+Datos!AA13-(Datos!U13+Datos!AI13))/(Datos!U13+Datos!AI13))," - ")</f>
        <v>0.49155405405405406</v>
      </c>
      <c r="E13" s="854">
        <f>IF(ISNUMBER(
   IF(J_V="SI",(Datos!L13-Datos!V13)/Datos!V13,(Datos!L13+Datos!AB13-(Datos!V13+Datos!AJ13))/(Datos!V13+Datos!AJ13))
     ),IF(J_V="SI",(Datos!L13-Datos!V13)/Datos!V13,(Datos!L13+Datos!AB13-(Datos!V13+Datos!AJ13))/(Datos!V13+Datos!AJ13))," - ")</f>
        <v>-0.52569169960474305</v>
      </c>
      <c r="F13" s="855">
        <f>IF(ISNUMBER((Datos!M13-Datos!W13)/Datos!W13),(Datos!M13-Datos!W13)/Datos!W13," - ")</f>
        <v>0.70253164556962022</v>
      </c>
      <c r="G13" s="856">
        <f>IF(ISNUMBER((Datos!N13-Datos!X13)/Datos!X13),(Datos!N13-Datos!X13)/Datos!X13," - ")</f>
        <v>0.34317343173431736</v>
      </c>
      <c r="H13" s="856">
        <f>IF(ISNUMBER(((NºAsuntos!G13/NºAsuntos!E13)-Datos!BD13)/Datos!BD13),((NºAsuntos!G13/NºAsuntos!E13)-Datos!BD13)/Datos!BD13," - ")</f>
        <v>0.50398367117117127</v>
      </c>
      <c r="I13" s="856">
        <f>IF(ISNUMBER(((NºAsuntos!I13/NºAsuntos!G13)-Datos!BE13)/Datos!BE13),((NºAsuntos!I13/NºAsuntos!G13)-Datos!BE13)/Datos!BE13," - ")</f>
        <v>-0.68200394809287423</v>
      </c>
      <c r="J13" s="856">
        <f>IF(ISNUMBER((('Resol  Asuntos'!D13/NºAsuntos!G13)-Datos!BF13)/Datos!BF13),(('Resol  Asuntos'!D13/NºAsuntos!G13)-Datos!BF13)/Datos!BF13," - ")</f>
        <v>-0.33450623294454918</v>
      </c>
      <c r="K13" s="856">
        <f>IF(ISNUMBER((((NºAsuntos!C13+NºAsuntos!E13)/NºAsuntos!G13)-Datos!BG13)/Datos!BG13),(((NºAsuntos!C13+NºAsuntos!E13)/NºAsuntos!G13)-Datos!BG13)/Datos!BG13," - ")</f>
        <v>-0.28587185499240902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1.834862385321101E-2</v>
      </c>
      <c r="C16" s="455">
        <f>IF(ISNUMBER(
   IF(D_I="SI",(Datos!J16-Datos!T16)/Datos!T16,(Datos!J16+Datos!AD16-(Datos!T16+Datos!AL16))/(Datos!T16+Datos!AL16))
     ),IF(D_I="SI",(Datos!J16-Datos!T16)/Datos!T16,(Datos!J16+Datos!AD16-(Datos!T16+Datos!AL16))/(Datos!T16+Datos!AL16))," - ")</f>
        <v>-8.8628762541806017E-2</v>
      </c>
      <c r="D16" s="455">
        <f>IF(ISNUMBER(
   IF(D_I="SI",(Datos!K16-Datos!U16)/Datos!U16,(Datos!K16+Datos!AE16-(Datos!U16+Datos!AM16))/(Datos!U16+Datos!AM16))
     ),IF(D_I="SI",(Datos!K16-Datos!U16)/Datos!U16,(Datos!K16+Datos!AE16-(Datos!U16+Datos!AM16))/(Datos!U16+Datos!AM16))," - ")</f>
        <v>-4.6979865771812082E-2</v>
      </c>
      <c r="E16" s="455">
        <f>IF(ISNUMBER(
   IF(D_I="SI",(Datos!L16-Datos!V16)/Datos!V16,(Datos!L16+Datos!AF16-(Datos!V16+Datos!AN16))/(Datos!V16+Datos!AN16))
     ),IF(D_I="SI",(Datos!L16-Datos!V16)/Datos!V16,(Datos!L16+Datos!AF16-(Datos!V16+Datos!AN16))/(Datos!V16+Datos!AN16))," - ")</f>
        <v>-0.2072072072072072</v>
      </c>
      <c r="F16" s="455">
        <f>IF(ISNUMBER((Datos!M16-Datos!W16)/Datos!W16),(Datos!M16-Datos!W16)/Datos!W16," - ")</f>
        <v>-8.6956521739130432E-2</v>
      </c>
      <c r="G16" s="456">
        <f>IF(ISNUMBER((Datos!N16-Datos!X16)/Datos!X16),(Datos!N16-Datos!X16)/Datos!X16," - ")</f>
        <v>-4.784688995215311E-2</v>
      </c>
      <c r="H16" s="454">
        <f>IF(ISNUMBER(((NºAsuntos!G16/NºAsuntos!E16)-Datos!BD16)/Datos!BD16),((NºAsuntos!G16/NºAsuntos!E16)-Datos!BD16)/Datos!BD16," - ")</f>
        <v>4.5699156455883315E-2</v>
      </c>
      <c r="I16" s="455">
        <f>IF(ISNUMBER(((NºAsuntos!I16/NºAsuntos!G16)-Datos!BE16)/Datos!BE16),((NºAsuntos!I16/NºAsuntos!G16)-Datos!BE16)/Datos!BE16," - ")</f>
        <v>-0.16812587235122456</v>
      </c>
      <c r="J16" s="460">
        <f>IF(ISNUMBER((('Resol  Asuntos'!D16/NºAsuntos!G16)-Datos!BF16)/Datos!BF16),(('Resol  Asuntos'!D16/NºAsuntos!G16)-Datos!BF16)/Datos!BF16," - ")</f>
        <v>-4.1947336191059351E-2</v>
      </c>
      <c r="K16" s="461">
        <f>IF(ISNUMBER((((NºAsuntos!C16+NºAsuntos!E16)/NºAsuntos!G16)-Datos!BG16)/Datos!BG16),(((NºAsuntos!C16+NºAsuntos!E16)/NºAsuntos!G16)-Datos!BG16)/Datos!BG16," - ")</f>
        <v>-2.6395999760941816E-2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-0.22222222222222221</v>
      </c>
      <c r="C17" s="455">
        <f>IF(ISNUMBER(
   IF(D_I="SI",(Datos!J17-Datos!T17)/Datos!T17,(Datos!J17+Datos!AD17-(Datos!T17+Datos!AL17))/(Datos!T17+Datos!AL17))
     ),IF(D_I="SI",(Datos!J17-Datos!T17)/Datos!T17,(Datos!J17+Datos!AD17-(Datos!T17+Datos!AL17))/(Datos!T17+Datos!AL17))," - ")</f>
        <v>0.61764705882352944</v>
      </c>
      <c r="D17" s="455">
        <f>IF(ISNUMBER(
   IF(D_I="SI",(Datos!K17-Datos!U17)/Datos!U17,(Datos!K17+Datos!AE17-(Datos!U17+Datos!AM17))/(Datos!U17+Datos!AM17))
     ),IF(D_I="SI",(Datos!K17-Datos!U17)/Datos!U17,(Datos!K17+Datos!AE17-(Datos!U17+Datos!AM17))/(Datos!U17+Datos!AM17))," - ")</f>
        <v>0.55555555555555558</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1</v>
      </c>
      <c r="G17" s="456">
        <f>IF(ISNUMBER((Datos!N17-Datos!X17)/Datos!X17),(Datos!N17-Datos!X17)/Datos!X17," - ")</f>
        <v>0.21875</v>
      </c>
      <c r="H17" s="454">
        <f>IF(ISNUMBER(((NºAsuntos!G17/NºAsuntos!E17)-Datos!BD17)/Datos!BD17),((NºAsuntos!G17/NºAsuntos!E17)-Datos!BD17)/Datos!BD17," - ")</f>
        <v>-3.8383838383838492E-2</v>
      </c>
      <c r="I17" s="455">
        <f>IF(ISNUMBER(((NºAsuntos!I17/NºAsuntos!G17)-Datos!BE17)/Datos!BE17),((NºAsuntos!I17/NºAsuntos!G17)-Datos!BE17)/Datos!BE17," - ")</f>
        <v>-0.17346938775510198</v>
      </c>
      <c r="J17" s="460">
        <f>IF(ISNUMBER((('Resol  Asuntos'!D17/NºAsuntos!G17)-Datos!BF17)/Datos!BF17),(('Resol  Asuntos'!D17/NºAsuntos!G17)-Datos!BF17)/Datos!BF17," - ")</f>
        <v>0.2857142857142857</v>
      </c>
      <c r="K17" s="461">
        <f>IF(ISNUMBER((((NºAsuntos!C17+NºAsuntos!E17)/NºAsuntos!G17)-Datos!BG17)/Datos!BG17),(((NºAsuntos!C17+NºAsuntos!E17)/NºAsuntos!G17)-Datos!BG17)/Datos!BG17," - ")</f>
        <v>-7.3089700996677665E-2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-5.0632911392405063E-2</v>
      </c>
      <c r="D18" s="854">
        <f>IF(ISNUMBER(
   IF(Criterios!B14="SI",(Datos!K18-Datos!U18)/Datos!U18,(Datos!K18+Datos!AE18-(Datos!U18+Datos!AM18))/(Datos!U18+Datos!AM18))
     ),IF(Criterios!B14="SI",(Datos!K18-Datos!U18)/Datos!U18,(Datos!K18+Datos!AE18-(Datos!U18+Datos!AM18))/(Datos!U18+Datos!AM18))," - ")</f>
        <v>-1.2658227848101266E-2</v>
      </c>
      <c r="E18" s="854">
        <f>IF(ISNUMBER(
   IF(Criterios!B14="SI",(Datos!L18-Datos!V18)/Datos!V18,(Datos!L18+Datos!AF18-(Datos!V18+Datos!AN18))/(Datos!V18+Datos!AN18))
     ),IF(Criterios!B14="SI",(Datos!L18-Datos!V18)/Datos!V18,(Datos!L18+Datos!AF18-(Datos!V18+Datos!AN18))/(Datos!V18+Datos!AN18))," - ")</f>
        <v>-0.17796610169491525</v>
      </c>
      <c r="F18" s="855">
        <f>IF(ISNUMBER((Datos!M18-Datos!W18)/Datos!W18),(Datos!M18-Datos!W18)/Datos!W18," - ")</f>
        <v>-2.7397260273972601E-2</v>
      </c>
      <c r="G18" s="856">
        <f>IF(ISNUMBER((Datos!N18-Datos!X18)/Datos!X18),(Datos!N18-Datos!X18)/Datos!X18," - ")</f>
        <v>-2.8888888888888888E-2</v>
      </c>
      <c r="H18" s="856">
        <f>IF(ISNUMBER(((NºAsuntos!G18/NºAsuntos!E18)-Datos!BD18)/Datos!BD18),((NºAsuntos!G18/NºAsuntos!E18)-Datos!BD18)/Datos!BD18," - ")</f>
        <v>4.0000000000000036E-2</v>
      </c>
      <c r="I18" s="856">
        <f>IF(ISNUMBER(((NºAsuntos!I18/NºAsuntos!G18)-Datos!BE18)/Datos!BE18),((NºAsuntos!I18/NºAsuntos!G18)-Datos!BE18)/Datos!BE18," - ")</f>
        <v>-0.16742720556279875</v>
      </c>
      <c r="J18" s="856">
        <f>IF(ISNUMBER((('Resol  Asuntos'!D18/NºAsuntos!G18)-Datos!BF18)/Datos!BF18),(('Resol  Asuntos'!D18/NºAsuntos!G18)-Datos!BF18)/Datos!BF18," - ")</f>
        <v>-1.4927994380049232E-2</v>
      </c>
      <c r="K18" s="856">
        <f>IF(ISNUMBER((((NºAsuntos!C18+NºAsuntos!E18)/NºAsuntos!G18)-Datos!BG18)/Datos!BG18),(((NºAsuntos!C18+NºAsuntos!E18)/NºAsuntos!G18)-Datos!BG18)/Datos!BG18," - ")</f>
        <v>-3.0393162393162556E-2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0.14917127071823205</v>
      </c>
      <c r="C19" s="801">
        <f>IF(ISNUMBER(
   IF(J_V="SI",(Datos!J19-Datos!T19)/Datos!T19,(Datos!J19+Datos!Z19-(Datos!T19+Datos!AH19))/(Datos!T19+Datos!AH19))
     ),IF(J_V="SI",(Datos!J19-Datos!T19)/Datos!T19,(Datos!J19+Datos!Z19-(Datos!T19+Datos!AH19))/(Datos!T19+Datos!AH19))," - ")</f>
        <v>-2.7982326951399118E-2</v>
      </c>
      <c r="D19" s="801">
        <f>IF(ISNUMBER(
   IF(J_V="SI",(Datos!K19-Datos!U19)/Datos!U19,(Datos!K19+Datos!AA19-(Datos!U19+Datos!AI19))/(Datos!U19+Datos!AI19))
     ),IF(J_V="SI",(Datos!K19-Datos!U19)/Datos!U19,(Datos!K19+Datos!AA19-(Datos!U19+Datos!AI19))/(Datos!U19+Datos!AI19))," - ")</f>
        <v>0.2312091503267974</v>
      </c>
      <c r="E19" s="801">
        <f>IF(ISNUMBER(
   IF(J_V="SI",(Datos!L19-Datos!V19)/Datos!V19,(Datos!L19+Datos!AB19-(Datos!V19+Datos!AJ19))/(Datos!V19+Datos!AJ19))
     ),IF(J_V="SI",(Datos!L19-Datos!V19)/Datos!V19,(Datos!L19+Datos!AB19-(Datos!V19+Datos!AJ19))/(Datos!V19+Datos!AJ19))," - ")</f>
        <v>-0.45993589743589741</v>
      </c>
      <c r="F19" s="802">
        <f>IF(ISNUMBER((Datos!M19-Datos!W19)/Datos!W19),(Datos!M19-Datos!W19)/Datos!W19," - ")</f>
        <v>0.47186147186147187</v>
      </c>
      <c r="G19" s="803">
        <f>IF(ISNUMBER((Datos!N19-Datos!X19)/Datos!X19),(Datos!N19-Datos!X19)/Datos!X19," - ")</f>
        <v>0.11095700416088766</v>
      </c>
      <c r="H19" s="804">
        <f>IF(ISNUMBER((Tasas!B19-Datos!BD19)/Datos!BD19),(Tasas!B19-Datos!BD19)/Datos!BD19," - ")</f>
        <v>0.26665305010893237</v>
      </c>
      <c r="I19" s="805">
        <f>IF(ISNUMBER((Tasas!C19-Datos!BE19)/Datos!BE19),(Tasas!C19-Datos!BE19)/Datos!BE19," - ")</f>
        <v>-0.56135470369047014</v>
      </c>
      <c r="J19" s="806">
        <f>IF(ISNUMBER((Tasas!D19-Datos!BF19)/Datos!BF19),(Tasas!D19-Datos!BF19)/Datos!BF19," - ")</f>
        <v>-0.19723461057699723</v>
      </c>
      <c r="K19" s="806">
        <f>IF(ISNUMBER((Tasas!E19-Datos!BG19)/Datos!BG19),(Tasas!E19-Datos!BG19)/Datos!BG19," - ")</f>
        <v>-0.16941839363000724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D546XjFF0KnY1Zb7MQnZUCX6QZZmhKh3jT6tbF1fg/J82RkoKaN/mW0C8du//ZXBcRjiZGHurAhLKEW2pFLzw==" saltValue="QTkNmavcGDh1tI6lDx4l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CALAMOCHA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1.2280945757997219</v>
      </c>
      <c r="C12" s="442">
        <f>IF(ISNUMBER(NºAsuntos!I12/NºAsuntos!G12),NºAsuntos!I12/NºAsuntos!G12," - ")</f>
        <v>0.27066817667044168</v>
      </c>
      <c r="D12" s="443">
        <f>IF(ISNUMBER('Resol  Asuntos'!D12/NºAsuntos!G12),'Resol  Asuntos'!D12/NºAsuntos!G12," - ")</f>
        <v>0.30464326160815403</v>
      </c>
      <c r="E12" s="444">
        <f>IF(ISNUMBER((NºAsuntos!C12+NºAsuntos!E12)/NºAsuntos!G12),(NºAsuntos!C12+NºAsuntos!E12)/NºAsuntos!G12," - ")</f>
        <v>1.3873159682899208</v>
      </c>
      <c r="G12" s="462"/>
    </row>
    <row r="13" spans="1:7" ht="14.25" thickTop="1" thickBot="1">
      <c r="A13" s="847" t="str">
        <f>Datos!A13</f>
        <v>TOTAL</v>
      </c>
      <c r="B13" s="857">
        <f>IF(ISNUMBER(NºAsuntos!G13/NºAsuntos!E13),NºAsuntos!G13/NºAsuntos!E13," - ")</f>
        <v>1.226388888888889</v>
      </c>
      <c r="C13" s="858">
        <f>IF(ISNUMBER(NºAsuntos!I13/NºAsuntos!G13),NºAsuntos!I13/NºAsuntos!G13," - ")</f>
        <v>0.27180067950169873</v>
      </c>
      <c r="D13" s="859">
        <f>IF(ISNUMBER('Resol  Asuntos'!D13/NºAsuntos!G13),'Resol  Asuntos'!D13/NºAsuntos!G13," - ")</f>
        <v>0.30464326160815403</v>
      </c>
      <c r="E13" s="860">
        <f>IF(ISNUMBER((NºAsuntos!C13+NºAsuntos!E13)/NºAsuntos!G13),(NºAsuntos!C13+NºAsuntos!E13)/NºAsuntos!G13," - ")</f>
        <v>1.3884484711211778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1.0422018348623854</v>
      </c>
      <c r="C16" s="442">
        <f>IF(ISNUMBER(NºAsuntos!I16/NºAsuntos!G16),NºAsuntos!I16/NºAsuntos!G16," - ")</f>
        <v>0.15492957746478872</v>
      </c>
      <c r="D16" s="443">
        <f>IF(ISNUMBER('Resol  Asuntos'!D16/NºAsuntos!G16),'Resol  Asuntos'!D16/NºAsuntos!G16," - ")</f>
        <v>0.11091549295774648</v>
      </c>
      <c r="E16" s="444">
        <f>IF(ISNUMBER((NºAsuntos!C16+NºAsuntos!E16)/NºAsuntos!G16),(NºAsuntos!C16+NºAsuntos!E16)/NºAsuntos!G16," - ")</f>
        <v>1.1549295774647887</v>
      </c>
      <c r="G16" s="462"/>
    </row>
    <row r="17" spans="1:7" ht="21.75" thickBot="1">
      <c r="A17" s="401" t="str">
        <f>Datos!A17</f>
        <v>Jdos. Violencia contra la mujer/Secc Viol. TI.</v>
      </c>
      <c r="B17" s="441">
        <f>IF(ISNUMBER(NºAsuntos!G17/NºAsuntos!E17),NºAsuntos!G17/NºAsuntos!E17," - ")</f>
        <v>1.0181818181818181</v>
      </c>
      <c r="C17" s="442">
        <f>IF(ISNUMBER(NºAsuntos!I17/NºAsuntos!G17),NºAsuntos!I17/NºAsuntos!G17," - ")</f>
        <v>0.16071428571428573</v>
      </c>
      <c r="D17" s="443">
        <f>IF(ISNUMBER('Resol  Asuntos'!D17/NºAsuntos!G17),'Resol  Asuntos'!D17/NºAsuntos!G17," - ")</f>
        <v>0.14285714285714285</v>
      </c>
      <c r="E17" s="444">
        <f>IF(ISNUMBER((NºAsuntos!C17+NºAsuntos!E17)/NºAsuntos!G17),(NºAsuntos!C17+NºAsuntos!E17)/NºAsuntos!G17," - ")</f>
        <v>1.1071428571428572</v>
      </c>
      <c r="G17" s="462"/>
    </row>
    <row r="18" spans="1:7" ht="14.25" thickTop="1" thickBot="1">
      <c r="A18" s="847" t="str">
        <f>Datos!A18</f>
        <v>TOTAL</v>
      </c>
      <c r="B18" s="857">
        <f>IF(ISNUMBER(NºAsuntos!G18/NºAsuntos!E18),NºAsuntos!G18/NºAsuntos!E18," - ")</f>
        <v>1.04</v>
      </c>
      <c r="C18" s="858">
        <f>IF(ISNUMBER(NºAsuntos!I18/NºAsuntos!G18),NºAsuntos!I18/NºAsuntos!G18," - ")</f>
        <v>0.15544871794871795</v>
      </c>
      <c r="D18" s="861">
        <f>IF(ISNUMBER('Resol  Asuntos'!D18/NºAsuntos!G18),'Resol  Asuntos'!D18/NºAsuntos!G18," - ")</f>
        <v>0.11378205128205128</v>
      </c>
      <c r="E18" s="860">
        <f>IF(ISNUMBER((NºAsuntos!C18+NºAsuntos!E18)/NºAsuntos!G18),(NºAsuntos!C18+NºAsuntos!E18)/NºAsuntos!G18," - ")</f>
        <v>1.1506410256410255</v>
      </c>
      <c r="G18" s="462"/>
    </row>
    <row r="19" spans="1:7" ht="15.75" customHeight="1" thickTop="1" thickBot="1">
      <c r="A19" s="792" t="str">
        <f>Datos!A19</f>
        <v>TOTAL JURISDICCIONES</v>
      </c>
      <c r="B19" s="807">
        <f>IF(ISNUMBER(NºAsuntos!G19/NºAsuntos!E19),NºAsuntos!G19/NºAsuntos!E19," - ")</f>
        <v>1.1416666666666666</v>
      </c>
      <c r="C19" s="808">
        <f>IF(ISNUMBER(NºAsuntos!I19/NºAsuntos!G19),NºAsuntos!I19/NºAsuntos!G19," - ")</f>
        <v>0.22362309223623092</v>
      </c>
      <c r="D19" s="809">
        <f>IF(ISNUMBER('Resol  Asuntos'!D19/NºAsuntos!G19),'Resol  Asuntos'!D19/NºAsuntos!G19," - ")</f>
        <v>0.22561380225613803</v>
      </c>
      <c r="E19" s="810">
        <f>IF(ISNUMBER((NºAsuntos!C19+NºAsuntos!E19)/NºAsuntos!G19),(NºAsuntos!C19+NºAsuntos!E19)/NºAsuntos!G19," - ")</f>
        <v>1.2899800928998009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D9JzGiczl0hMhRVF+O9/R5bbgV8XUKHS9r/srv8UMF7yompjXIcauxY9bJVMsaEw+Iyt6pzBro88x/m/5eLeQ==" saltValue="yC7gDobNcu4mrX282PQK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CALAMOCHA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269</v>
      </c>
      <c r="AJ12" s="228" t="str">
        <f>IF(ISNUMBER(Datos!BW12),Datos!BW12," - ")</f>
        <v xml:space="preserve"> - </v>
      </c>
      <c r="AK12" s="227" t="str">
        <f>IF(ISNUMBER(Datos!BX12),Datos!BX12," - ")</f>
        <v xml:space="preserve"> - </v>
      </c>
      <c r="AL12" s="242">
        <f>IF(ISNUMBER(NºAsuntos!G12/NºAsuntos!E12),NºAsuntos!G12/NºAsuntos!E12," - ")</f>
        <v>1.2280945757997219</v>
      </c>
      <c r="AM12" s="259">
        <f>IF(ISNUMBER(((NºAsuntos!I12/NºAsuntos!G12)*11)/factor_trimestre),((NºAsuntos!I12/NºAsuntos!G12)*11)/factor_trimestre," - ")</f>
        <v>2.9773499433748585</v>
      </c>
      <c r="AN12" s="243">
        <f>IF(ISNUMBER('Resol  Asuntos'!D12/NºAsuntos!G12),'Resol  Asuntos'!D12/NºAsuntos!G12," - ")</f>
        <v>0.30464326160815403</v>
      </c>
      <c r="AO12" s="244">
        <f>IF(ISNUMBER((NºAsuntos!C12+NºAsuntos!E12)/NºAsuntos!G12),(NºAsuntos!C12+NºAsuntos!E12)/NºAsuntos!G12," - ")</f>
        <v>1.3873159682899208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45</v>
      </c>
      <c r="Y13" s="867">
        <f t="shared" si="4"/>
        <v>45</v>
      </c>
      <c r="Z13" s="867">
        <f t="shared" si="4"/>
        <v>0</v>
      </c>
      <c r="AA13" s="867">
        <f t="shared" si="4"/>
        <v>1</v>
      </c>
      <c r="AB13" s="867">
        <f t="shared" si="4"/>
        <v>270</v>
      </c>
      <c r="AC13" s="867">
        <f t="shared" si="4"/>
        <v>1</v>
      </c>
      <c r="AD13" s="867">
        <f t="shared" si="4"/>
        <v>0</v>
      </c>
      <c r="AE13" s="871">
        <f t="shared" si="4"/>
        <v>0</v>
      </c>
      <c r="AF13" s="864">
        <f t="shared" si="4"/>
        <v>0</v>
      </c>
      <c r="AG13" s="872">
        <f t="shared" si="4"/>
        <v>0</v>
      </c>
      <c r="AH13" s="869">
        <f t="shared" si="4"/>
        <v>0</v>
      </c>
      <c r="AI13" s="864">
        <f t="shared" si="4"/>
        <v>269</v>
      </c>
      <c r="AJ13" s="866">
        <f t="shared" si="4"/>
        <v>0</v>
      </c>
      <c r="AK13" s="869">
        <f>SUBTOTAL(9,AK9:AK12)</f>
        <v>0</v>
      </c>
      <c r="AL13" s="873">
        <f>IF(ISNUMBER(NºAsuntos!G13/NºAsuntos!E13),NºAsuntos!G13/NºAsuntos!E13," - ")</f>
        <v>1.226388888888889</v>
      </c>
      <c r="AM13" s="873">
        <f>IF(ISNUMBER(((NºAsuntos!I13/NºAsuntos!G13)*11)/factor_trimestre),((NºAsuntos!I13/NºAsuntos!G13)*11)/factor_trimestre," - ")</f>
        <v>2.989807474518686</v>
      </c>
      <c r="AN13" s="874">
        <f>IF(ISNUMBER('Resol  Asuntos'!D13/NºAsuntos!G13),'Resol  Asuntos'!D13/NºAsuntos!G13," - ")</f>
        <v>0.30464326160815403</v>
      </c>
      <c r="AO13" s="875">
        <f>IF(ISNUMBER((NºAsuntos!C13+NºAsuntos!E13)/NºAsuntos!G13),(NºAsuntos!C13+NºAsuntos!E13)/NºAsuntos!G13," - ")</f>
        <v>1.3884484711211778</v>
      </c>
      <c r="AP13" s="876" t="str">
        <f t="shared" si="2"/>
        <v xml:space="preserve"> - </v>
      </c>
      <c r="AQ13" s="876" t="str">
        <f>IF(ISNUMBER((H13-W13+K13)/(F13)),(H13-W13+K13)/(F13)," - ")</f>
        <v xml:space="preserve"> - </v>
      </c>
      <c r="AR13" s="877">
        <f>IF(ISNUMBER((Datos!P13-Datos!Q13)/(Datos!R13-Datos!P13+Datos!Q13)),(Datos!P13-Datos!Q13)/(Datos!R13-Datos!P13+Datos!Q13)," - ")</f>
        <v>-7.5342465753424653E-2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111</v>
      </c>
      <c r="G16" s="332">
        <f>IF(ISNUMBER(IF(D_I="SI",Datos!I16,Datos!I16+Datos!AC16)),IF(D_I="SI",Datos!I16,Datos!I16+Datos!AC16)," - ")</f>
        <v>111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568</v>
      </c>
      <c r="X16" s="225">
        <f>IF(ISNUMBER(Datos!Q16),Datos!Q16," - ")</f>
        <v>15</v>
      </c>
      <c r="Y16" s="333">
        <f t="shared" ref="Y16:Y17" si="7">SUM(W16:X16)</f>
        <v>583</v>
      </c>
      <c r="Z16" s="334" t="str">
        <f>IF(ISNUMBER(Datos!CC16),Datos!CC16," - ")</f>
        <v xml:space="preserve"> - </v>
      </c>
      <c r="AA16" s="331">
        <f>IF(ISNUMBER(IF(D_I="SI",Datos!L16,Datos!L16+Datos!AF16)),IF(D_I="SI",Datos!L16,Datos!L16+Datos!AF16)," - ")</f>
        <v>88</v>
      </c>
      <c r="AB16" s="333">
        <f>IF(ISNUMBER(Datos!R16),Datos!R16," - ")</f>
        <v>19</v>
      </c>
      <c r="AC16" s="333">
        <f t="shared" si="6"/>
        <v>107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63</v>
      </c>
      <c r="AJ16" s="230" t="str">
        <f>IF(ISNUMBER(Datos!BW16),Datos!BW16," - ")</f>
        <v xml:space="preserve"> - </v>
      </c>
      <c r="AK16" s="231" t="str">
        <f>IF(ISNUMBER(Datos!BX16),Datos!BX16," - ")</f>
        <v xml:space="preserve"> - </v>
      </c>
      <c r="AL16" s="242">
        <f>IF(ISNUMBER(NºAsuntos!G16/NºAsuntos!E16),NºAsuntos!G16/NºAsuntos!E16," - ")</f>
        <v>1.0422018348623854</v>
      </c>
      <c r="AM16" s="259">
        <f>IF(ISNUMBER(((NºAsuntos!I16/NºAsuntos!G16)*11)/factor_trimestre),((NºAsuntos!I16/NºAsuntos!G16)*11)/factor_trimestre," - ")</f>
        <v>1.704225352112676</v>
      </c>
      <c r="AN16" s="243">
        <f>IF(ISNUMBER('Resol  Asuntos'!D16/NºAsuntos!G16),'Resol  Asuntos'!D16/NºAsuntos!G16," - ")</f>
        <v>0.11091549295774648</v>
      </c>
      <c r="AO16" s="244">
        <f>IF(ISNUMBER((NºAsuntos!C16+NºAsuntos!E16)/NºAsuntos!G16),(NºAsuntos!C16+NºAsuntos!E16)/NºAsuntos!G16," - ")</f>
        <v>1.1549295774647887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1</v>
      </c>
      <c r="Y17" s="333">
        <f t="shared" si="7"/>
        <v>57</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1.0181818181818181</v>
      </c>
      <c r="AM17" s="259">
        <f>IF(ISNUMBER(((NºAsuntos!I17/NºAsuntos!G17)*11)/factor_trimestre),((NºAsuntos!I17/NºAsuntos!G17)*11)/factor_trimestre," - ")</f>
        <v>1.767857142857143</v>
      </c>
      <c r="AN17" s="243">
        <f>IF(ISNUMBER('Resol  Asuntos'!D17/NºAsuntos!G17),'Resol  Asuntos'!D17/NºAsuntos!G17," - ")</f>
        <v>0.14285714285714285</v>
      </c>
      <c r="AO17" s="244">
        <f>IF(ISNUMBER((NºAsuntos!C17+NºAsuntos!E17)/NºAsuntos!G17),(NºAsuntos!C17+NºAsuntos!E17)/NºAsuntos!G17," - ")</f>
        <v>1.1071428571428572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111</v>
      </c>
      <c r="G18" s="865">
        <f>SUBTOTAL(9,G15:G17)</f>
        <v>118</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624</v>
      </c>
      <c r="X18" s="866">
        <f t="shared" si="11"/>
        <v>16</v>
      </c>
      <c r="Y18" s="867">
        <f t="shared" si="11"/>
        <v>640</v>
      </c>
      <c r="Z18" s="867">
        <f t="shared" si="11"/>
        <v>0</v>
      </c>
      <c r="AA18" s="867">
        <f t="shared" si="11"/>
        <v>97</v>
      </c>
      <c r="AB18" s="867">
        <f t="shared" si="11"/>
        <v>19</v>
      </c>
      <c r="AC18" s="867">
        <f t="shared" si="11"/>
        <v>116</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1.04</v>
      </c>
      <c r="AM18" s="873">
        <f>IF(ISNUMBER(((NºAsuntos!I18/NºAsuntos!G18)*11)/factor_trimestre),((NºAsuntos!I18/NºAsuntos!G18)*11)/factor_trimestre," - ")</f>
        <v>1.7099358974358974</v>
      </c>
      <c r="AN18" s="874">
        <f>IF(ISNUMBER('Resol  Asuntos'!D18/NºAsuntos!G18),'Resol  Asuntos'!D18/NºAsuntos!G18," - ")</f>
        <v>0.11378205128205128</v>
      </c>
      <c r="AO18" s="875">
        <f>IF(ISNUMBER((NºAsuntos!C18+NºAsuntos!E18)/NºAsuntos!G18),(NºAsuntos!C18+NºAsuntos!E18)/NºAsuntos!G18," - ")</f>
        <v>1.1506410256410255</v>
      </c>
      <c r="AP18" s="876" t="str">
        <f t="shared" si="2"/>
        <v xml:space="preserve"> - </v>
      </c>
      <c r="AQ18" s="876">
        <f>IF(ISNUMBER((H18-W18+K18)/(F18)),(H18-W18+K18)/(F18)," - ")</f>
        <v>-5.6216216216216219</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111</v>
      </c>
      <c r="G19" s="820">
        <f t="shared" si="13"/>
        <v>118</v>
      </c>
      <c r="H19" s="819">
        <f t="shared" si="13"/>
        <v>0</v>
      </c>
      <c r="I19" s="821">
        <f t="shared" si="13"/>
        <v>0</v>
      </c>
      <c r="J19" s="821">
        <f t="shared" si="13"/>
        <v>0</v>
      </c>
      <c r="K19" s="880">
        <f t="shared" si="13"/>
        <v>0</v>
      </c>
      <c r="L19" s="821">
        <f t="shared" si="13"/>
        <v>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624</v>
      </c>
      <c r="X19" s="820">
        <f t="shared" si="14"/>
        <v>61</v>
      </c>
      <c r="Y19" s="827">
        <f t="shared" si="14"/>
        <v>685</v>
      </c>
      <c r="Z19" s="827">
        <f t="shared" si="14"/>
        <v>0</v>
      </c>
      <c r="AA19" s="827">
        <f t="shared" si="14"/>
        <v>98</v>
      </c>
      <c r="AB19" s="827">
        <f t="shared" si="14"/>
        <v>289</v>
      </c>
      <c r="AC19" s="827">
        <f t="shared" si="14"/>
        <v>117</v>
      </c>
      <c r="AD19" s="827">
        <f t="shared" si="14"/>
        <v>0</v>
      </c>
      <c r="AE19" s="829">
        <f t="shared" si="14"/>
        <v>0</v>
      </c>
      <c r="AF19" s="830">
        <f t="shared" si="14"/>
        <v>0</v>
      </c>
      <c r="AG19" s="831">
        <f t="shared" si="14"/>
        <v>0</v>
      </c>
      <c r="AH19" s="829">
        <f t="shared" si="14"/>
        <v>0</v>
      </c>
      <c r="AI19" s="819">
        <f t="shared" si="14"/>
        <v>340</v>
      </c>
      <c r="AJ19" s="819">
        <f t="shared" si="14"/>
        <v>0</v>
      </c>
      <c r="AK19" s="829">
        <f t="shared" si="14"/>
        <v>0</v>
      </c>
      <c r="AL19" s="883">
        <f>IF(ISNUMBER(NºAsuntos!G19/NºAsuntos!E19),NºAsuntos!G19/NºAsuntos!E19," - ")</f>
        <v>1.1416666666666666</v>
      </c>
      <c r="AM19" s="884">
        <f>IF(ISNUMBER(((NºAsuntos!I19/NºAsuntos!G19)*11)/factor_trimestre),((NºAsuntos!I19/NºAsuntos!G19)*11)/factor_trimestre," - ")</f>
        <v>2.4598540145985401</v>
      </c>
      <c r="AN19" s="884">
        <f>IF(ISNUMBER('Resol  Asuntos'!D19/NºAsuntos!G19),'Resol  Asuntos'!D19/NºAsuntos!G19," - ")</f>
        <v>0.22561380225613803</v>
      </c>
      <c r="AO19" s="885">
        <f>IF(ISNUMBER((NºAsuntos!C19+NºAsuntos!E19)/NºAsuntos!G19),(NºAsuntos!C19+NºAsuntos!E19)/NºAsuntos!G19," - ")</f>
        <v>1.2899800928998009</v>
      </c>
      <c r="AP19" s="886" t="str">
        <f t="shared" si="2"/>
        <v xml:space="preserve"> - </v>
      </c>
      <c r="AQ19" s="887">
        <f>IF(OR(ISNUMBER(FIND("01",Criterios!A8,1)),ISNUMBER(FIND("02",Criterios!A8,1)),ISNUMBER(FIND("03",Criterios!A8,1)),ISNUMBER(FIND("04",Criterios!A8,1))),(I19-W19+K19)/(F19-K19),(H19-W19+K19)/(F19-K19))</f>
        <v>-5.6216216216216219</v>
      </c>
      <c r="AR19" s="888">
        <f>IF(ISNUMBER((Datos!P19-Datos!Q19)/(Datos!R19-Datos!P19+Datos!Q19)),(Datos!P19-Datos!Q19)/(Datos!R19-Datos!P19+Datos!Q19)," - ")</f>
        <v>-7.371794871794872E-2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64.085879880048466</v>
      </c>
      <c r="G21" s="252">
        <f>IF(ISNUMBER(STDEV(G8:G18)),STDEV(G8:G18),"-")</f>
        <v>61.55241668691815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317.66145501146343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123.87843503478184</v>
      </c>
      <c r="AJ21" s="251">
        <f t="shared" si="18"/>
        <v>0</v>
      </c>
      <c r="AK21" s="253">
        <f t="shared" si="18"/>
        <v>0</v>
      </c>
      <c r="AL21" s="248">
        <f t="shared" si="18"/>
        <v>0.46345803637880745</v>
      </c>
      <c r="AM21" s="249">
        <f t="shared" si="18"/>
        <v>0.68853483424663109</v>
      </c>
      <c r="AN21" s="249">
        <f t="shared" si="18"/>
        <v>0.10053363702086883</v>
      </c>
      <c r="AO21" s="250">
        <f t="shared" si="18"/>
        <v>0.1383703498126789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BT6zwOqSYPb71bNjpnSzPD2inQWK4y4kJIxrRFG7iuoxub5GeHoRbq/FYRFyA7dHNEACokQMUlSVgbKnLKj2A==" saltValue="ZCKekUOci7xewGFmAtn/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CALAMOCHA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0.70253164556962022</v>
      </c>
      <c r="I12" s="349">
        <f>IF(ISNUMBER((Tasas!C12-Datos!BE12)/Datos!BE12),(Tasas!C12-Datos!BE12)/Datos!BE12," - ")</f>
        <v>-0.6833289316424872</v>
      </c>
      <c r="J12" s="348">
        <f>IF(ISNUMBER((Tasas!D12-Datos!BF12)/Datos!BF12),(Tasas!D12-Datos!BF12)/Datos!BF12," - ")</f>
        <v>-0.33450623294454918</v>
      </c>
      <c r="K12" s="350">
        <f>IF(ISNUMBER((Tasas!E12-Datos!BG12)/Datos!BG12),(Tasas!E12-Datos!BG12)/Datos!BG12," - ")</f>
        <v>-0.28521231224749077</v>
      </c>
      <c r="M12" t="e">
        <f>IF(Monitorios="SI",Datos!CE12,0)</f>
        <v>#REF!</v>
      </c>
      <c r="N12" t="e">
        <f>IF(Monitorios="SI",Datos!CF12,0)</f>
        <v>#REF!</v>
      </c>
      <c r="O12" t="e">
        <f>IF(Monitorios="SI",Datos!CG12,0)</f>
        <v>#REF!</v>
      </c>
      <c r="P12" t="e">
        <f>IF(Monitorios="SI",Datos!CH12,0)</f>
        <v>#REF!</v>
      </c>
      <c r="Q12">
        <f>IF(J_V="SI",0,Datos!AG12)</f>
        <v>9</v>
      </c>
      <c r="R12">
        <f>IF(J_V="SI",0,Datos!AH12)</f>
        <v>32</v>
      </c>
      <c r="S12">
        <f>IF(J_V="SI",0,Datos!AI12)</f>
        <v>27</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0.70253164556962022</v>
      </c>
      <c r="I13" s="356">
        <f>IF(ISNUMBER((Tasas!C13-Datos!BE13)/Datos!BE13),(Tasas!C13-Datos!BE13)/Datos!BE13," - ")</f>
        <v>-0.68200394809287423</v>
      </c>
      <c r="J13" s="354">
        <f>IF(ISNUMBER((Tasas!D13-Datos!BF13)/Datos!BF13),(Tasas!D13-Datos!BF13)/Datos!BF13," - ")</f>
        <v>-0.33450623294454918</v>
      </c>
      <c r="K13" s="357">
        <f>IF(ISNUMBER((Tasas!E13-Datos!BG13)/Datos!BG13),(Tasas!E13-Datos!BG13)/Datos!BG13," - ")</f>
        <v>-0.28587185499240902</v>
      </c>
      <c r="M13" t="e">
        <f>IF(Monitorios="SI",Datos!CE13,0)</f>
        <v>#REF!</v>
      </c>
      <c r="N13" t="e">
        <f>IF(Monitorios="SI",Datos!CF13,0)</f>
        <v>#REF!</v>
      </c>
      <c r="O13" t="e">
        <f>IF(Monitorios="SI",Datos!CG13,0)</f>
        <v>#REF!</v>
      </c>
      <c r="P13" t="e">
        <f>IF(Monitorios="SI",Datos!CH13,0)</f>
        <v>#REF!</v>
      </c>
      <c r="Q13">
        <f>IF(J_V="SI",0,Datos!AG13)</f>
        <v>9</v>
      </c>
      <c r="R13">
        <f>IF(J_V="SI",0,Datos!AH13)</f>
        <v>32</v>
      </c>
      <c r="S13">
        <f>IF(J_V="SI",0,Datos!AI13)</f>
        <v>27</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1.834862385321101E-2</v>
      </c>
      <c r="E16" s="347">
        <f>IF(ISNUMBER(
   IF(D_I="SI",(Datos!J16-Datos!T16)/Datos!T16,(Datos!J16+Datos!AD16-(Datos!T16+Datos!AL16))/(Datos!T16+Datos!AL16))
     ),IF(D_I="SI",(Datos!J16-Datos!T16)/Datos!T16,(Datos!J16+Datos!AD16-(Datos!T16+Datos!AL16))/(Datos!T16+Datos!AL16))," - ")</f>
        <v>-8.8628762541806017E-2</v>
      </c>
      <c r="F16" s="347">
        <f>IF(ISNUMBER(
   IF(D_I="SI",(Datos!K16-Datos!U16)/Datos!U16,(Datos!K16+Datos!AE16-(Datos!U16+Datos!AM16))/(Datos!U16+Datos!AM16))
     ),IF(D_I="SI",(Datos!K16-Datos!U16)/Datos!U16,(Datos!K16+Datos!AE16-(Datos!U16+Datos!AM16))/(Datos!U16+Datos!AM16))," - ")</f>
        <v>-4.6979865771812082E-2</v>
      </c>
      <c r="G16" s="348">
        <f>IF(ISNUMBER(
   IF(D_I="SI",(Datos!L16-Datos!V16)/Datos!V16,(Datos!L16+Datos!AF16-(Datos!V16+Datos!AN16))/(Datos!V16+Datos!AN16))
     ),IF(D_I="SI",(Datos!L16-Datos!V16)/Datos!V16,(Datos!L16+Datos!AF16-(Datos!V16+Datos!AN16))/(Datos!V16+Datos!AN16))," - ")</f>
        <v>-0.2072072072072072</v>
      </c>
      <c r="H16" s="229">
        <f>IF(ISNUMBER((Datos!M16-Datos!W16)/Datos!W16),(Datos!M16-Datos!W16)/Datos!W16," - ")</f>
        <v>-8.6956521739130432E-2</v>
      </c>
      <c r="I16" s="349">
        <f>IF(ISNUMBER((Tasas!C16-Datos!BE16)/Datos!BE16),(Tasas!C16-Datos!BE16)/Datos!BE16," - ")</f>
        <v>-0.16812587235122456</v>
      </c>
      <c r="J16" s="348">
        <f>IF(ISNUMBER((Tasas!D16-Datos!BF16)/Datos!BF16),(Tasas!D16-Datos!BF16)/Datos!BF16," - ")</f>
        <v>-4.1947336191059351E-2</v>
      </c>
      <c r="K16" s="350">
        <f>IF(ISNUMBER((Tasas!E16-Datos!BG16)/Datos!BG16),(Tasas!E16-Datos!BG16)/Datos!BG16," - ")</f>
        <v>-2.6395999760941816E-2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-0.22222222222222221</v>
      </c>
      <c r="E17" s="347">
        <f>IF(ISNUMBER(
   IF(D_I="SI",(Datos!J17-Datos!T17)/Datos!T17,(Datos!J17+Datos!AD17-(Datos!T17+Datos!AL17))/(Datos!T17+Datos!AL17))
     ),IF(D_I="SI",(Datos!J17-Datos!T17)/Datos!T17,(Datos!J17+Datos!AD17-(Datos!T17+Datos!AL17))/(Datos!T17+Datos!AL17))," - ")</f>
        <v>0.61764705882352944</v>
      </c>
      <c r="F17" s="347">
        <f>IF(ISNUMBER(
   IF(D_I="SI",(Datos!K17-Datos!U17)/Datos!U17,(Datos!K17+Datos!AE17-(Datos!U17+Datos!AM17))/(Datos!U17+Datos!AM17))
     ),IF(D_I="SI",(Datos!K17-Datos!U17)/Datos!U17,(Datos!K17+Datos!AE17-(Datos!U17+Datos!AM17))/(Datos!U17+Datos!AM17))," - ")</f>
        <v>0.55555555555555558</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1</v>
      </c>
      <c r="I17" s="349">
        <f>IF(ISNUMBER((Tasas!C17-Datos!BE17)/Datos!BE17),(Tasas!C17-Datos!BE17)/Datos!BE17," - ")</f>
        <v>-0.17346938775510198</v>
      </c>
      <c r="J17" s="348">
        <f>IF(ISNUMBER((Tasas!D17-Datos!BF17)/Datos!BF17),(Tasas!D17-Datos!BF17)/Datos!BF17," - ")</f>
        <v>0.2857142857142857</v>
      </c>
      <c r="K17" s="350">
        <f>IF(ISNUMBER((Tasas!E17-Datos!BG17)/Datos!BG17),(Tasas!E17-Datos!BG17)/Datos!BG17," - ")</f>
        <v>-7.3089700996677665E-2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-5.0632911392405063E-2</v>
      </c>
      <c r="F18" s="353">
        <f>IF(ISNUMBER(
   IF(D_I="SI",(Datos!K18-Datos!U18)/Datos!U18,(Datos!K18+Datos!AE18-(Datos!U18+Datos!AM18))/(Datos!U18+Datos!AM18))
     ),IF(D_I="SI",(Datos!K18-Datos!U18)/Datos!U18,(Datos!K18+Datos!AE18-(Datos!U18+Datos!AM18))/(Datos!U18+Datos!AM18))," - ")</f>
        <v>-1.2658227848101266E-2</v>
      </c>
      <c r="G18" s="354">
        <f>IF(ISNUMBER(
   IF(D_I="SI",(Datos!L18-Datos!V18)/Datos!V18,(Datos!L18+Datos!AF18-(Datos!V18+Datos!AN18))/(Datos!V18+Datos!AN18))
     ),IF(D_I="SI",(Datos!L18-Datos!V18)/Datos!V18,(Datos!L18+Datos!AF18-(Datos!V18+Datos!AN18))/(Datos!V18+Datos!AN18))," - ")</f>
        <v>-0.17796610169491525</v>
      </c>
      <c r="H18" s="355">
        <f>IF(ISNUMBER((Datos!M18-Datos!W18)/Datos!W18),(Datos!M18-Datos!W18)/Datos!W18," - ")</f>
        <v>-2.7397260273972601E-2</v>
      </c>
      <c r="I18" s="356">
        <f>IF(ISNUMBER((Tasas!C18-Datos!BE18)/Datos!BE18),(Tasas!C18-Datos!BE18)/Datos!BE18," - ")</f>
        <v>-0.16742720556279875</v>
      </c>
      <c r="J18" s="354">
        <f>IF(ISNUMBER((Tasas!D18-Datos!BF18)/Datos!BF18),(Tasas!D18-Datos!BF18)/Datos!BF18," - ")</f>
        <v>-1.4927994380049232E-2</v>
      </c>
      <c r="K18" s="357">
        <f>IF(ISNUMBER((Tasas!E18-Datos!BG18)/Datos!BG18),(Tasas!E18-Datos!BG18)/Datos!BG18," - ")</f>
        <v>-3.0393162393162556E-2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0.14917127071823205</v>
      </c>
      <c r="E19" s="362">
        <f>IF(ISNUMBER(
   IF(J_V="SI",(Datos!J19-Datos!T19)/Datos!T19,(Datos!J19+Datos!Z19-(Datos!T19+Datos!AH19))/(Datos!T19+Datos!AH19))
     ),IF(J_V="SI",(Datos!J19-Datos!T19)/Datos!T19,(Datos!J19+Datos!Z19-(Datos!T19+Datos!AH19))/(Datos!T19+Datos!AH19))," - ")</f>
        <v>-2.7982326951399118E-2</v>
      </c>
      <c r="F19" s="362">
        <f>IF(ISNUMBER(
   IF(J_V="SI",(Datos!K19-Datos!U19)/Datos!U19,(Datos!K19+Datos!AA19-(Datos!U19+Datos!AI19))/(Datos!U19+Datos!AI19))
     ),IF(J_V="SI",(Datos!K19-Datos!U19)/Datos!U19,(Datos!K19+Datos!AA19-(Datos!U19+Datos!AI19))/(Datos!U19+Datos!AI19))," - ")</f>
        <v>0.2312091503267974</v>
      </c>
      <c r="G19" s="363">
        <f>IF(ISNUMBER(
   IF(J_V="SI",(Datos!L19-Datos!V19)/Datos!V19,(Datos!L19+Datos!AB19-(Datos!V19+Datos!AJ19))/(Datos!V19+Datos!AJ19))
     ),IF(J_V="SI",(Datos!L19-Datos!V19)/Datos!V19,(Datos!L19+Datos!AB19-(Datos!V19+Datos!AJ19))/(Datos!V19+Datos!AJ19))," - ")</f>
        <v>-0.45993589743589741</v>
      </c>
      <c r="H19" s="364">
        <f>IF(ISNUMBER((Datos!M19-Datos!W19)/Datos!W19),(Datos!M19-Datos!W19)/Datos!W19," - ")</f>
        <v>0.47186147186147187</v>
      </c>
      <c r="I19" s="361">
        <f>IF(ISNUMBER((Tasas!C19-Datos!BE19)/Datos!BE19),(Tasas!C19-Datos!BE19)/Datos!BE19," - ")</f>
        <v>-0.56135470369047014</v>
      </c>
      <c r="J19" s="362">
        <f>IF(ISNUMBER((Tasas!D19-Datos!BF19)/Datos!BF19),(Tasas!D19-Datos!BF19)/Datos!BF19," - ")</f>
        <v>-0.19723461057699723</v>
      </c>
      <c r="K19" s="363">
        <f>IF(ISNUMBER((Tasas!E19-Datos!BG19)/Datos!BG19),(Tasas!E19-Datos!BG19)/Datos!BG19," - ")</f>
        <v>-0.16941839363000724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0.47867576981856985</v>
      </c>
      <c r="E21" s="277">
        <f t="shared" si="1"/>
        <v>0.39725460751296032</v>
      </c>
      <c r="F21" s="277">
        <f t="shared" si="1"/>
        <v>0.33840158895258671</v>
      </c>
      <c r="G21" s="278">
        <f t="shared" si="1"/>
        <v>0.27653394671163523</v>
      </c>
      <c r="H21" s="284">
        <f t="shared" si="1"/>
        <v>0.48629812398281541</v>
      </c>
      <c r="I21" s="276">
        <f t="shared" si="1"/>
        <v>0.28098755687272625</v>
      </c>
      <c r="J21" s="277">
        <f t="shared" si="1"/>
        <v>0.25915891501933186</v>
      </c>
      <c r="K21" s="278">
        <f t="shared" si="1"/>
        <v>0.1339417261861329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KRURggYPy2BD3ltoHxkxye4fR4CLwVn9O7oNvZQsG3Qz828Ex2jYUUzIxlSaak2bPDMJdGkrwyDxOXKxBywKw==" saltValue="E/bvF8KKDLxjy4HCvdSV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